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rames\Dropbox\EdReform-SchoolFundingCommision-Nov2019Start\"/>
    </mc:Choice>
  </mc:AlternateContent>
  <xr:revisionPtr revIDLastSave="0" documentId="13_ncr:1_{CC7F25AD-605F-4912-8744-6E3EE2AFEE62}" xr6:coauthVersionLast="45" xr6:coauthVersionMax="45" xr10:uidLastSave="{00000000-0000-0000-0000-000000000000}"/>
  <bookViews>
    <workbookView xWindow="-108" yWindow="-108" windowWidth="23256" windowHeight="12576" tabRatio="500" activeTab="3" xr2:uid="{00000000-000D-0000-FFFF-FFFF00000000}"/>
  </bookViews>
  <sheets>
    <sheet name="Revenue" sheetId="1" r:id="rId1"/>
    <sheet name="Revenue for Bar Charts" sheetId="11564" r:id="rId2"/>
    <sheet name="Fig State Aid 1919 2019" sheetId="2826" r:id="rId3"/>
    <sheet name="Column chart revenue by year" sheetId="11565" r:id="rId4"/>
    <sheet name="Spending" sheetId="264" r:id="rId5"/>
    <sheet name="For Pie Charts" sheetId="9708" r:id="rId6"/>
    <sheet name="FigSpending 1915 2019" sheetId="11521" r:id="rId7"/>
    <sheet name="Fig%GSP" sheetId="41" r:id="rId8"/>
    <sheet name="Fig SpEd and Total by Year" sheetId="11555" r:id="rId9"/>
    <sheet name="Fig Pie Revenue 1999" sheetId="11559" r:id="rId10"/>
    <sheet name="Fig Pie Revenue 2000" sheetId="11557" r:id="rId11"/>
    <sheet name="Fig Pie Revenue 2018" sheetId="11553" r:id="rId12"/>
    <sheet name="Fig Pie Revenue 2019" sheetId="11563" r:id="rId13"/>
    <sheet name="Fig Construction" sheetId="3079" r:id="rId14"/>
    <sheet name="Fig Pie Spending 2018" sheetId="11552" r:id="rId15"/>
    <sheet name="FigSpending 1989 2019" sheetId="267" r:id="rId16"/>
    <sheet name="2018-19" sheetId="11562" r:id="rId17"/>
    <sheet name="2017-18" sheetId="11554" r:id="rId18"/>
    <sheet name="2016-17" sheetId="11533" r:id="rId19"/>
    <sheet name="2015-16" sheetId="11534" r:id="rId20"/>
    <sheet name="2014-15" sheetId="11535" r:id="rId21"/>
    <sheet name="2013-14" sheetId="11536" r:id="rId22"/>
    <sheet name="2012-13" sheetId="11537" r:id="rId23"/>
    <sheet name="2011-12" sheetId="11538" r:id="rId24"/>
    <sheet name="2010-11" sheetId="11539" r:id="rId25"/>
    <sheet name="2009-10" sheetId="11540" r:id="rId26"/>
    <sheet name="2008-09" sheetId="11541" r:id="rId27"/>
    <sheet name="2007-08" sheetId="11542" r:id="rId28"/>
  </sheets>
  <definedNames>
    <definedName name="mmm" localSheetId="1">#REF!</definedName>
    <definedName name="mmm">#REF!</definedName>
    <definedName name="ms25pg01" localSheetId="27">#REF!</definedName>
    <definedName name="ms25pg01" localSheetId="26">#REF!</definedName>
    <definedName name="ms25pg01" localSheetId="25">#REF!</definedName>
    <definedName name="ms25pg01" localSheetId="24">#REF!</definedName>
    <definedName name="ms25pg01" localSheetId="23">#REF!</definedName>
    <definedName name="ms25pg01" localSheetId="22">#REF!</definedName>
    <definedName name="ms25pg01" localSheetId="21">#REF!</definedName>
    <definedName name="ms25pg01" localSheetId="20">#REF!</definedName>
    <definedName name="ms25pg01" localSheetId="19">#REF!</definedName>
    <definedName name="ms25pg01" localSheetId="17">#REF!</definedName>
    <definedName name="ms25pg01" localSheetId="1">#REF!</definedName>
    <definedName name="ms25pg01">#REF!</definedName>
    <definedName name="ms25pg02" localSheetId="27">#REF!</definedName>
    <definedName name="ms25pg02" localSheetId="26">#REF!</definedName>
    <definedName name="ms25pg02" localSheetId="25">#REF!</definedName>
    <definedName name="ms25pg02" localSheetId="24">#REF!</definedName>
    <definedName name="ms25pg02" localSheetId="23">#REF!</definedName>
    <definedName name="ms25pg02" localSheetId="22">#REF!</definedName>
    <definedName name="ms25pg02" localSheetId="21">#REF!</definedName>
    <definedName name="ms25pg02" localSheetId="20">#REF!</definedName>
    <definedName name="ms25pg02" localSheetId="19">#REF!</definedName>
    <definedName name="ms25pg02" localSheetId="17">#REF!</definedName>
    <definedName name="ms25pg02" localSheetId="1">#REF!</definedName>
    <definedName name="ms25pg02">#REF!</definedName>
    <definedName name="ms25pg03" localSheetId="27">#REF!</definedName>
    <definedName name="ms25pg03" localSheetId="26">#REF!</definedName>
    <definedName name="ms25pg03" localSheetId="25">#REF!</definedName>
    <definedName name="ms25pg03" localSheetId="24">#REF!</definedName>
    <definedName name="ms25pg03" localSheetId="23">#REF!</definedName>
    <definedName name="ms25pg03" localSheetId="22">#REF!</definedName>
    <definedName name="ms25pg03" localSheetId="21">#REF!</definedName>
    <definedName name="ms25pg03" localSheetId="20">#REF!</definedName>
    <definedName name="ms25pg03" localSheetId="19">#REF!</definedName>
    <definedName name="ms25pg03" localSheetId="17">#REF!</definedName>
    <definedName name="ms25pg03" localSheetId="1">#REF!</definedName>
    <definedName name="ms25pg03">#REF!</definedName>
    <definedName name="ms25pg04" localSheetId="27">#REF!</definedName>
    <definedName name="ms25pg04" localSheetId="26">#REF!</definedName>
    <definedName name="ms25pg04" localSheetId="25">#REF!</definedName>
    <definedName name="ms25pg04" localSheetId="24">#REF!</definedName>
    <definedName name="ms25pg04" localSheetId="23">#REF!</definedName>
    <definedName name="ms25pg04" localSheetId="22">#REF!</definedName>
    <definedName name="ms25pg04" localSheetId="21">#REF!</definedName>
    <definedName name="ms25pg04" localSheetId="20">#REF!</definedName>
    <definedName name="ms25pg04" localSheetId="19">#REF!</definedName>
    <definedName name="ms25pg04" localSheetId="1">#REF!</definedName>
    <definedName name="ms25pg04">#REF!</definedName>
    <definedName name="ms25pg05" localSheetId="27">#REF!</definedName>
    <definedName name="ms25pg05" localSheetId="26">#REF!</definedName>
    <definedName name="ms25pg05" localSheetId="25">#REF!</definedName>
    <definedName name="ms25pg05" localSheetId="24">#REF!</definedName>
    <definedName name="ms25pg05" localSheetId="23">#REF!</definedName>
    <definedName name="ms25pg05" localSheetId="22">#REF!</definedName>
    <definedName name="ms25pg05" localSheetId="21">#REF!</definedName>
    <definedName name="ms25pg05" localSheetId="20">#REF!</definedName>
    <definedName name="ms25pg05" localSheetId="19">#REF!</definedName>
    <definedName name="ms25pg05" localSheetId="1">#REF!</definedName>
    <definedName name="ms25pg05">#REF!</definedName>
    <definedName name="ms25pg06" localSheetId="27">#REF!</definedName>
    <definedName name="ms25pg06" localSheetId="26">#REF!</definedName>
    <definedName name="ms25pg06" localSheetId="25">#REF!</definedName>
    <definedName name="ms25pg06" localSheetId="24">#REF!</definedName>
    <definedName name="ms25pg06" localSheetId="23">#REF!</definedName>
    <definedName name="ms25pg06" localSheetId="22">#REF!</definedName>
    <definedName name="ms25pg06" localSheetId="21">#REF!</definedName>
    <definedName name="ms25pg06" localSheetId="20">#REF!</definedName>
    <definedName name="ms25pg06" localSheetId="19">#REF!</definedName>
    <definedName name="ms25pg06" localSheetId="1">#REF!</definedName>
    <definedName name="ms25pg06">#REF!</definedName>
    <definedName name="nnyn" localSheetId="1">#REF!</definedName>
    <definedName name="nnyn">#REF!</definedName>
    <definedName name="_xlnm.Print_Area" localSheetId="27">'2007-08'!$A$1:$D$65</definedName>
    <definedName name="_xlnm.Print_Area" localSheetId="26">'2008-09'!$A$1:$D$66</definedName>
    <definedName name="_xlnm.Print_Area" localSheetId="25">'2009-10'!$A$1:$D$68</definedName>
    <definedName name="_xlnm.Print_Area" localSheetId="24">'2010-11'!$A$1:$D$68</definedName>
    <definedName name="_xlnm.Print_Area" localSheetId="23">'2011-12'!$A$1:$D$68</definedName>
    <definedName name="_xlnm.Print_Area" localSheetId="22">'2012-13'!$A$1:$D$67</definedName>
    <definedName name="_xlnm.Print_Area" localSheetId="21">'2013-14'!$A$1:$D$67</definedName>
    <definedName name="_xlnm.Print_Area" localSheetId="20">'2014-15'!$A$1:$D$67</definedName>
    <definedName name="_xlnm.Print_Area" localSheetId="19">'2015-16'!$A$1:$D$67</definedName>
    <definedName name="_xlnm.Print_Area" localSheetId="18">'2016-17'!$A$1:$D$67</definedName>
    <definedName name="_xlnm.Print_Area" localSheetId="17">'2017-18'!$A$1:$D$67</definedName>
    <definedName name="_xlnm.Print_Area" localSheetId="0">Revenue!$A$78:$K$86</definedName>
    <definedName name="_xlnm.Print_Area" localSheetId="4">Spending!$A$80:$U$90</definedName>
    <definedName name="_xlnm.Print_Titles" localSheetId="0">Revenue!$2:$2</definedName>
    <definedName name="_xlnm.Print_Titles" localSheetId="4">Spending!$4:$4</definedName>
    <definedName name="www" localSheetId="1">#REF!</definedName>
    <definedName name="www">#REF!</definedName>
    <definedName name="yymy" localSheetId="1">#REF!</definedName>
    <definedName name="yym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11564" l="1"/>
  <c r="V10" i="11564"/>
  <c r="U10" i="11564"/>
  <c r="T10" i="11564"/>
  <c r="S10" i="11564"/>
  <c r="R10" i="11564"/>
  <c r="Q10" i="11564"/>
  <c r="P10" i="11564"/>
  <c r="O10" i="11564"/>
  <c r="N10" i="11564"/>
  <c r="M10" i="11564"/>
  <c r="L10" i="11564"/>
  <c r="K10" i="11564"/>
  <c r="J10" i="11564"/>
  <c r="I10" i="11564"/>
  <c r="H10" i="11564"/>
  <c r="G10" i="11564"/>
  <c r="C10" i="11564"/>
  <c r="B10" i="11564"/>
  <c r="W16" i="11564"/>
  <c r="V16" i="11564"/>
  <c r="U16" i="11564"/>
  <c r="T16" i="11564"/>
  <c r="S16" i="11564"/>
  <c r="S6" i="11564" s="1"/>
  <c r="R16" i="11564"/>
  <c r="Q16" i="11564"/>
  <c r="P16" i="11564"/>
  <c r="O16" i="11564"/>
  <c r="N16" i="11564"/>
  <c r="M16" i="11564"/>
  <c r="L16" i="11564"/>
  <c r="K16" i="11564"/>
  <c r="J16" i="11564"/>
  <c r="I16" i="11564"/>
  <c r="H16" i="11564"/>
  <c r="G16" i="11564"/>
  <c r="F16" i="11564"/>
  <c r="E16" i="11564"/>
  <c r="D16" i="11564"/>
  <c r="W15" i="11564"/>
  <c r="W17" i="11564" s="1"/>
  <c r="W7" i="11564" s="1"/>
  <c r="V15" i="11564"/>
  <c r="V17" i="11564" s="1"/>
  <c r="V7" i="11564" s="1"/>
  <c r="U15" i="11564"/>
  <c r="U17" i="11564" s="1"/>
  <c r="U7" i="11564" s="1"/>
  <c r="T15" i="11564"/>
  <c r="S15" i="11564"/>
  <c r="R15" i="11564"/>
  <c r="Q15" i="11564"/>
  <c r="Q17" i="11564" s="1"/>
  <c r="Q7" i="11564" s="1"/>
  <c r="M15" i="11564"/>
  <c r="M17" i="11564" s="1"/>
  <c r="M7" i="11564" s="1"/>
  <c r="L15" i="11564"/>
  <c r="L17" i="11564" s="1"/>
  <c r="L7" i="11564" s="1"/>
  <c r="K15" i="11564"/>
  <c r="J15" i="11564"/>
  <c r="J17" i="11564" s="1"/>
  <c r="I15" i="11564"/>
  <c r="I17" i="11564" s="1"/>
  <c r="H15" i="11564"/>
  <c r="H17" i="11564" s="1"/>
  <c r="G15" i="11564"/>
  <c r="G17" i="11564" s="1"/>
  <c r="F15" i="11564"/>
  <c r="F17" i="11564" s="1"/>
  <c r="E15" i="11564"/>
  <c r="E17" i="11564" s="1"/>
  <c r="D15" i="11564"/>
  <c r="D17" i="11564" s="1"/>
  <c r="D7" i="11564" s="1"/>
  <c r="C15" i="11564"/>
  <c r="C7" i="11564" s="1"/>
  <c r="B15" i="11564"/>
  <c r="W11" i="11564"/>
  <c r="V11" i="11564"/>
  <c r="U11" i="11564"/>
  <c r="T11" i="11564"/>
  <c r="S11" i="11564"/>
  <c r="R11" i="11564"/>
  <c r="Q11" i="11564"/>
  <c r="P11" i="11564"/>
  <c r="O11" i="11564"/>
  <c r="N11" i="11564"/>
  <c r="M11" i="11564"/>
  <c r="L11" i="11564"/>
  <c r="K11" i="11564"/>
  <c r="J11" i="11564"/>
  <c r="I11" i="11564"/>
  <c r="H11" i="11564"/>
  <c r="G11" i="11564"/>
  <c r="F11" i="11564"/>
  <c r="E11" i="11564"/>
  <c r="D11" i="11564"/>
  <c r="C11" i="11564"/>
  <c r="B11" i="11564"/>
  <c r="W9" i="11564"/>
  <c r="V9" i="11564"/>
  <c r="U9" i="11564"/>
  <c r="T9" i="11564"/>
  <c r="S9" i="11564"/>
  <c r="R9" i="11564"/>
  <c r="Q9" i="11564"/>
  <c r="P9" i="11564"/>
  <c r="O9" i="11564"/>
  <c r="N9" i="11564"/>
  <c r="M9" i="11564"/>
  <c r="L9" i="11564"/>
  <c r="K9" i="11564"/>
  <c r="J9" i="11564"/>
  <c r="I9" i="11564"/>
  <c r="H9" i="11564"/>
  <c r="G9" i="11564"/>
  <c r="F9" i="11564"/>
  <c r="E9" i="11564"/>
  <c r="D9" i="11564"/>
  <c r="C9" i="11564"/>
  <c r="B9" i="11564"/>
  <c r="W8" i="11564"/>
  <c r="V8" i="11564"/>
  <c r="U8" i="11564"/>
  <c r="T8" i="11564"/>
  <c r="S8" i="11564"/>
  <c r="R8" i="11564"/>
  <c r="Q8" i="11564"/>
  <c r="P8" i="11564"/>
  <c r="O8" i="11564"/>
  <c r="N8" i="11564"/>
  <c r="M8" i="11564"/>
  <c r="L8" i="11564"/>
  <c r="K8" i="11564"/>
  <c r="J8" i="11564"/>
  <c r="I8" i="11564"/>
  <c r="H8" i="11564"/>
  <c r="G8" i="11564"/>
  <c r="F8" i="11564"/>
  <c r="E8" i="11564"/>
  <c r="D8" i="11564"/>
  <c r="I7" i="11564"/>
  <c r="G7" i="11564"/>
  <c r="E7" i="11564"/>
  <c r="B7" i="11564"/>
  <c r="W6" i="11564"/>
  <c r="V6" i="11564"/>
  <c r="U6" i="11564"/>
  <c r="T6" i="11564"/>
  <c r="R6" i="11564"/>
  <c r="Q6" i="11564"/>
  <c r="P6" i="11564"/>
  <c r="O6" i="11564"/>
  <c r="N6" i="11564"/>
  <c r="M6" i="11564"/>
  <c r="L6" i="11564"/>
  <c r="I6" i="11564"/>
  <c r="E6" i="11564"/>
  <c r="W5" i="11564"/>
  <c r="V5" i="11564"/>
  <c r="U5" i="11564"/>
  <c r="T5" i="11564"/>
  <c r="S5" i="11564"/>
  <c r="R5" i="11564"/>
  <c r="Q5" i="11564"/>
  <c r="P5" i="11564"/>
  <c r="O5" i="11564"/>
  <c r="N5" i="11564"/>
  <c r="M5" i="11564"/>
  <c r="L5" i="11564"/>
  <c r="K5" i="11564"/>
  <c r="J5" i="11564"/>
  <c r="I5" i="11564"/>
  <c r="H5" i="11564"/>
  <c r="G5" i="11564"/>
  <c r="F5" i="11564"/>
  <c r="E5" i="11564"/>
  <c r="D5" i="11564"/>
  <c r="C5" i="11564"/>
  <c r="B5" i="11564"/>
  <c r="W52" i="9708"/>
  <c r="V52" i="9708"/>
  <c r="U52" i="9708"/>
  <c r="T52" i="9708"/>
  <c r="S52" i="9708"/>
  <c r="R52" i="9708"/>
  <c r="Q52" i="9708"/>
  <c r="P52" i="9708"/>
  <c r="W51" i="9708"/>
  <c r="V51" i="9708"/>
  <c r="U51" i="9708"/>
  <c r="T51" i="9708"/>
  <c r="S51" i="9708"/>
  <c r="R51" i="9708"/>
  <c r="P51" i="9708"/>
  <c r="W50" i="9708"/>
  <c r="V50" i="9708"/>
  <c r="U50" i="9708"/>
  <c r="T50" i="9708"/>
  <c r="S50" i="9708"/>
  <c r="R50" i="9708"/>
  <c r="W49" i="9708"/>
  <c r="V49" i="9708"/>
  <c r="U49" i="9708"/>
  <c r="T49" i="9708"/>
  <c r="S49" i="9708"/>
  <c r="R49" i="9708"/>
  <c r="P49" i="9708"/>
  <c r="W48" i="9708"/>
  <c r="V48" i="9708"/>
  <c r="U48" i="9708"/>
  <c r="T48" i="9708"/>
  <c r="S48" i="9708"/>
  <c r="R48" i="9708"/>
  <c r="P48" i="9708"/>
  <c r="W57" i="9708"/>
  <c r="V57" i="9708"/>
  <c r="U57" i="9708"/>
  <c r="U46" i="9708" s="1"/>
  <c r="T57" i="9708"/>
  <c r="S57" i="9708"/>
  <c r="S46" i="9708" s="1"/>
  <c r="R57" i="9708"/>
  <c r="W56" i="9708"/>
  <c r="W58" i="9708" s="1"/>
  <c r="W47" i="9708" s="1"/>
  <c r="V56" i="9708"/>
  <c r="V58" i="9708" s="1"/>
  <c r="V47" i="9708" s="1"/>
  <c r="U56" i="9708"/>
  <c r="T56" i="9708"/>
  <c r="W46" i="9708"/>
  <c r="V46" i="9708"/>
  <c r="T46" i="9708"/>
  <c r="R46" i="9708"/>
  <c r="P45" i="9708"/>
  <c r="W45" i="9708"/>
  <c r="V45" i="9708"/>
  <c r="U45" i="9708"/>
  <c r="T45" i="9708"/>
  <c r="S45" i="9708"/>
  <c r="R45" i="9708"/>
  <c r="Q57" i="9708"/>
  <c r="Q46" i="9708" s="1"/>
  <c r="P57" i="9708"/>
  <c r="P46" i="9708" s="1"/>
  <c r="P56" i="9708"/>
  <c r="Q51" i="9708"/>
  <c r="Q50" i="9708"/>
  <c r="Q49" i="9708"/>
  <c r="Q48" i="9708"/>
  <c r="Q45" i="9708"/>
  <c r="W38" i="9708"/>
  <c r="V38" i="9708"/>
  <c r="U38" i="9708"/>
  <c r="T38" i="9708"/>
  <c r="S38" i="9708"/>
  <c r="R38" i="9708"/>
  <c r="Q38" i="9708"/>
  <c r="W37" i="9708"/>
  <c r="V37" i="9708"/>
  <c r="U37" i="9708"/>
  <c r="T37" i="9708"/>
  <c r="S37" i="9708"/>
  <c r="R37" i="9708"/>
  <c r="Q37" i="9708"/>
  <c r="W36" i="9708"/>
  <c r="V36" i="9708"/>
  <c r="U36" i="9708"/>
  <c r="T36" i="9708"/>
  <c r="S36" i="9708"/>
  <c r="R36" i="9708"/>
  <c r="Q36" i="9708"/>
  <c r="W35" i="9708"/>
  <c r="V35" i="9708"/>
  <c r="U35" i="9708"/>
  <c r="T35" i="9708"/>
  <c r="S35" i="9708"/>
  <c r="R35" i="9708"/>
  <c r="Q35" i="9708"/>
  <c r="W34" i="9708"/>
  <c r="V34" i="9708"/>
  <c r="U34" i="9708"/>
  <c r="T34" i="9708"/>
  <c r="S34" i="9708"/>
  <c r="R34" i="9708"/>
  <c r="Q34" i="9708"/>
  <c r="W33" i="9708"/>
  <c r="V33" i="9708"/>
  <c r="U33" i="9708"/>
  <c r="T33" i="9708"/>
  <c r="S33" i="9708"/>
  <c r="R33" i="9708"/>
  <c r="Q33" i="9708"/>
  <c r="W32" i="9708"/>
  <c r="V32" i="9708"/>
  <c r="U32" i="9708"/>
  <c r="T32" i="9708"/>
  <c r="S32" i="9708"/>
  <c r="R32" i="9708"/>
  <c r="Q32" i="9708"/>
  <c r="W31" i="9708"/>
  <c r="V31" i="9708"/>
  <c r="U31" i="9708"/>
  <c r="T31" i="9708"/>
  <c r="S31" i="9708"/>
  <c r="R31" i="9708"/>
  <c r="Q31" i="9708"/>
  <c r="W30" i="9708"/>
  <c r="V30" i="9708"/>
  <c r="U30" i="9708"/>
  <c r="T30" i="9708"/>
  <c r="S30" i="9708"/>
  <c r="R30" i="9708"/>
  <c r="Q30" i="9708"/>
  <c r="W29" i="9708"/>
  <c r="V29" i="9708"/>
  <c r="U29" i="9708"/>
  <c r="T29" i="9708"/>
  <c r="S29" i="9708"/>
  <c r="R29" i="9708"/>
  <c r="Q29" i="9708"/>
  <c r="W28" i="9708"/>
  <c r="V28" i="9708"/>
  <c r="U28" i="9708"/>
  <c r="T28" i="9708"/>
  <c r="S28" i="9708"/>
  <c r="R28" i="9708"/>
  <c r="Q28" i="9708"/>
  <c r="Q39" i="9708" s="1"/>
  <c r="Q40" i="9708" s="1"/>
  <c r="W24" i="9708"/>
  <c r="V24" i="9708"/>
  <c r="U24" i="9708"/>
  <c r="T24" i="9708"/>
  <c r="S24" i="9708"/>
  <c r="R24" i="9708"/>
  <c r="Q24" i="9708"/>
  <c r="P58" i="9708"/>
  <c r="P47" i="9708" s="1"/>
  <c r="P38" i="9708"/>
  <c r="P37" i="9708"/>
  <c r="P36" i="9708"/>
  <c r="P35" i="9708"/>
  <c r="P34" i="9708"/>
  <c r="P33" i="9708"/>
  <c r="P32" i="9708"/>
  <c r="P31" i="9708"/>
  <c r="P30" i="9708"/>
  <c r="P29" i="9708"/>
  <c r="P28" i="9708"/>
  <c r="P24" i="9708"/>
  <c r="V53" i="9708" l="1"/>
  <c r="V54" i="9708" s="1"/>
  <c r="R17" i="11564"/>
  <c r="R7" i="11564" s="1"/>
  <c r="U39" i="9708"/>
  <c r="U40" i="9708" s="1"/>
  <c r="W53" i="9708"/>
  <c r="W54" i="9708" s="1"/>
  <c r="K17" i="11564"/>
  <c r="S17" i="11564"/>
  <c r="S7" i="11564" s="1"/>
  <c r="S12" i="11564" s="1"/>
  <c r="S13" i="11564" s="1"/>
  <c r="T17" i="11564"/>
  <c r="T7" i="11564" s="1"/>
  <c r="T12" i="11564" s="1"/>
  <c r="T13" i="11564" s="1"/>
  <c r="W39" i="9708"/>
  <c r="W40" i="9708" s="1"/>
  <c r="T58" i="9708"/>
  <c r="T47" i="9708" s="1"/>
  <c r="M12" i="11564"/>
  <c r="M13" i="11564" s="1"/>
  <c r="P53" i="9708"/>
  <c r="P54" i="9708" s="1"/>
  <c r="T53" i="9708"/>
  <c r="T54" i="9708" s="1"/>
  <c r="S39" i="9708"/>
  <c r="S40" i="9708" s="1"/>
  <c r="I12" i="11564"/>
  <c r="I13" i="11564" s="1"/>
  <c r="Q12" i="11564"/>
  <c r="Q13" i="11564" s="1"/>
  <c r="G6" i="11564"/>
  <c r="G12" i="11564" s="1"/>
  <c r="G13" i="11564" s="1"/>
  <c r="R12" i="11564"/>
  <c r="R13" i="11564" s="1"/>
  <c r="D6" i="11564"/>
  <c r="L12" i="11564"/>
  <c r="L13" i="11564" s="1"/>
  <c r="V12" i="11564"/>
  <c r="V13" i="11564" s="1"/>
  <c r="F7" i="11564"/>
  <c r="F6" i="11564"/>
  <c r="H7" i="11564"/>
  <c r="H6" i="11564"/>
  <c r="H12" i="11564" s="1"/>
  <c r="H13" i="11564" s="1"/>
  <c r="J7" i="11564"/>
  <c r="J6" i="11564"/>
  <c r="J12" i="11564" s="1"/>
  <c r="J13" i="11564" s="1"/>
  <c r="U12" i="11564"/>
  <c r="U13" i="11564" s="1"/>
  <c r="W12" i="11564"/>
  <c r="W13" i="11564" s="1"/>
  <c r="U58" i="9708"/>
  <c r="U47" i="9708" s="1"/>
  <c r="U53" i="9708" s="1"/>
  <c r="U54" i="9708" s="1"/>
  <c r="P39" i="9708"/>
  <c r="P40" i="9708" s="1"/>
  <c r="R39" i="9708"/>
  <c r="R40" i="9708" s="1"/>
  <c r="T39" i="9708"/>
  <c r="T40" i="9708" s="1"/>
  <c r="V39" i="9708"/>
  <c r="V40" i="9708" s="1"/>
  <c r="AB52" i="9708"/>
  <c r="AB51" i="9708"/>
  <c r="AB60" i="9708" s="1"/>
  <c r="AB50" i="9708"/>
  <c r="AB49" i="9708"/>
  <c r="AB48" i="9708"/>
  <c r="AB45" i="9708"/>
  <c r="AB56" i="9708"/>
  <c r="AB57" i="9708"/>
  <c r="AB46" i="9708" s="1"/>
  <c r="AB38" i="9708"/>
  <c r="AB37" i="9708"/>
  <c r="AB36" i="9708"/>
  <c r="AB35" i="9708"/>
  <c r="AB34" i="9708"/>
  <c r="AB33" i="9708"/>
  <c r="AB32" i="9708"/>
  <c r="AB31" i="9708"/>
  <c r="AB30" i="9708"/>
  <c r="AB29" i="9708"/>
  <c r="AB28" i="9708"/>
  <c r="F40" i="9708"/>
  <c r="AB24" i="9708"/>
  <c r="AD113" i="264"/>
  <c r="AD112" i="264"/>
  <c r="AD111" i="264"/>
  <c r="AD110" i="264"/>
  <c r="AD109" i="264"/>
  <c r="AD108" i="264"/>
  <c r="AD107" i="264"/>
  <c r="AD106" i="264"/>
  <c r="AD105" i="264"/>
  <c r="AD104" i="264"/>
  <c r="AD103" i="264"/>
  <c r="AD102" i="264"/>
  <c r="AD101" i="264"/>
  <c r="AD100" i="264"/>
  <c r="AD99" i="264"/>
  <c r="AD98" i="264"/>
  <c r="AD97" i="264"/>
  <c r="AD96" i="264"/>
  <c r="AD95" i="264"/>
  <c r="T113" i="264"/>
  <c r="Z113" i="264" s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6" i="1"/>
  <c r="X85" i="1"/>
  <c r="V113" i="264" l="1"/>
  <c r="K7" i="11564"/>
  <c r="K6" i="11564"/>
  <c r="K12" i="11564" s="1"/>
  <c r="K13" i="11564" s="1"/>
  <c r="Y113" i="264"/>
  <c r="AB39" i="9708"/>
  <c r="AB40" i="9708" s="1"/>
  <c r="AC29" i="9708" s="1"/>
  <c r="AB58" i="9708"/>
  <c r="AB47" i="9708" s="1"/>
  <c r="AB53" i="9708" s="1"/>
  <c r="AB54" i="9708" s="1"/>
  <c r="AC45" i="9708" s="1"/>
  <c r="L109" i="1"/>
  <c r="M109" i="1" s="1"/>
  <c r="S109" i="1" s="1"/>
  <c r="AC34" i="9708" l="1"/>
  <c r="AC30" i="9708"/>
  <c r="AC37" i="9708"/>
  <c r="AC31" i="9708"/>
  <c r="AC38" i="9708"/>
  <c r="AC32" i="9708"/>
  <c r="AC28" i="9708"/>
  <c r="AC33" i="9708"/>
  <c r="AC52" i="9708"/>
  <c r="AC48" i="9708"/>
  <c r="AC49" i="9708"/>
  <c r="AC47" i="9708"/>
  <c r="AC50" i="9708"/>
  <c r="AC46" i="9708"/>
  <c r="Q109" i="1"/>
  <c r="P109" i="1"/>
  <c r="R109" i="1"/>
  <c r="AC40" i="9708" l="1"/>
  <c r="AC54" i="9708"/>
  <c r="N38" i="9708"/>
  <c r="M38" i="9708"/>
  <c r="L38" i="9708"/>
  <c r="X38" i="9708"/>
  <c r="Z38" i="9708"/>
  <c r="Z35" i="9708"/>
  <c r="Z34" i="9708"/>
  <c r="X35" i="9708"/>
  <c r="X34" i="9708"/>
  <c r="N35" i="9708"/>
  <c r="M35" i="9708"/>
  <c r="L35" i="9708"/>
  <c r="N34" i="9708"/>
  <c r="M34" i="9708"/>
  <c r="L34" i="9708"/>
  <c r="Z52" i="9708" l="1"/>
  <c r="Z51" i="9708"/>
  <c r="Z60" i="9708" s="1"/>
  <c r="Z50" i="9708"/>
  <c r="Z49" i="9708"/>
  <c r="Z48" i="9708"/>
  <c r="Z57" i="9708"/>
  <c r="Z46" i="9708" s="1"/>
  <c r="Z56" i="9708"/>
  <c r="Z45" i="9708"/>
  <c r="Z37" i="9708"/>
  <c r="Z36" i="9708"/>
  <c r="Z33" i="9708"/>
  <c r="Z32" i="9708"/>
  <c r="Z31" i="9708"/>
  <c r="Z30" i="9708"/>
  <c r="Z29" i="9708"/>
  <c r="Z28" i="9708"/>
  <c r="X24" i="9708"/>
  <c r="Z24" i="9708"/>
  <c r="B61" i="11554"/>
  <c r="B56" i="11554"/>
  <c r="B42" i="11554"/>
  <c r="B45" i="11554" s="1"/>
  <c r="D39" i="11554"/>
  <c r="D38" i="11554"/>
  <c r="D31" i="11554"/>
  <c r="D30" i="11554"/>
  <c r="C17" i="11554"/>
  <c r="B17" i="11554"/>
  <c r="D16" i="11554" s="1"/>
  <c r="D15" i="11554"/>
  <c r="D40" i="11554" l="1"/>
  <c r="D24" i="11554"/>
  <c r="D25" i="11554"/>
  <c r="D34" i="11554"/>
  <c r="D32" i="11554"/>
  <c r="D35" i="11554"/>
  <c r="D33" i="11554"/>
  <c r="D11" i="11554"/>
  <c r="D27" i="11554"/>
  <c r="D36" i="11554"/>
  <c r="D26" i="11554"/>
  <c r="D13" i="11554"/>
  <c r="D29" i="11554"/>
  <c r="D37" i="11554"/>
  <c r="Z39" i="9708"/>
  <c r="Z58" i="9708"/>
  <c r="Z47" i="9708" s="1"/>
  <c r="D12" i="11554"/>
  <c r="D14" i="11554"/>
  <c r="D42" i="11554" l="1"/>
  <c r="D17" i="11554"/>
  <c r="Z40" i="9708"/>
  <c r="Z53" i="9708"/>
  <c r="Z54" i="9708" s="1"/>
  <c r="T112" i="264"/>
  <c r="L108" i="1"/>
  <c r="M108" i="1" s="1"/>
  <c r="S108" i="1" s="1"/>
  <c r="Z112" i="264" l="1"/>
  <c r="Y112" i="264"/>
  <c r="AA113" i="264"/>
  <c r="V112" i="264"/>
  <c r="AA34" i="9708"/>
  <c r="AA38" i="9708"/>
  <c r="AA28" i="9708"/>
  <c r="AA30" i="9708"/>
  <c r="AA29" i="9708"/>
  <c r="AA33" i="9708"/>
  <c r="AA32" i="9708"/>
  <c r="AA31" i="9708"/>
  <c r="AA37" i="9708"/>
  <c r="AA45" i="9708"/>
  <c r="AA49" i="9708"/>
  <c r="AA46" i="9708"/>
  <c r="AA48" i="9708"/>
  <c r="AA52" i="9708"/>
  <c r="AA50" i="9708"/>
  <c r="AA47" i="9708"/>
  <c r="P108" i="1"/>
  <c r="Q108" i="1"/>
  <c r="R108" i="1"/>
  <c r="AA40" i="9708" l="1"/>
  <c r="AA54" i="9708"/>
  <c r="X37" i="9708"/>
  <c r="X36" i="9708"/>
  <c r="X33" i="9708"/>
  <c r="X32" i="9708"/>
  <c r="X31" i="9708"/>
  <c r="X30" i="9708"/>
  <c r="X29" i="9708"/>
  <c r="X28" i="9708"/>
  <c r="X39" i="9708" l="1"/>
  <c r="X52" i="9708"/>
  <c r="X51" i="9708"/>
  <c r="X60" i="9708" s="1"/>
  <c r="X50" i="9708"/>
  <c r="X49" i="9708"/>
  <c r="X48" i="9708"/>
  <c r="X57" i="9708"/>
  <c r="X46" i="9708" s="1"/>
  <c r="X56" i="9708"/>
  <c r="X45" i="9708"/>
  <c r="B18" i="11542"/>
  <c r="D12" i="11542" s="1"/>
  <c r="C18" i="11542"/>
  <c r="B43" i="11542"/>
  <c r="D26" i="11542" s="1"/>
  <c r="B57" i="11542"/>
  <c r="B62" i="11542"/>
  <c r="C18" i="11541"/>
  <c r="B18" i="11540"/>
  <c r="C18" i="11540"/>
  <c r="D18" i="11540"/>
  <c r="B43" i="11540"/>
  <c r="D43" i="11540"/>
  <c r="B46" i="11540"/>
  <c r="B57" i="11540"/>
  <c r="B62" i="11540"/>
  <c r="B18" i="11539"/>
  <c r="D11" i="11539" s="1"/>
  <c r="C18" i="11539"/>
  <c r="B43" i="11539"/>
  <c r="D25" i="11539" s="1"/>
  <c r="B57" i="11539"/>
  <c r="B62" i="11539"/>
  <c r="B18" i="11538"/>
  <c r="C18" i="11538"/>
  <c r="B43" i="11538"/>
  <c r="B46" i="11538" s="1"/>
  <c r="D43" i="11538"/>
  <c r="B57" i="11538"/>
  <c r="B62" i="11538"/>
  <c r="B17" i="11537"/>
  <c r="D12" i="11537" s="1"/>
  <c r="C17" i="11537"/>
  <c r="D27" i="11537"/>
  <c r="D36" i="11537"/>
  <c r="B42" i="11537"/>
  <c r="D24" i="11537" s="1"/>
  <c r="B56" i="11537"/>
  <c r="B61" i="11537"/>
  <c r="B17" i="11536"/>
  <c r="D12" i="11536" s="1"/>
  <c r="C17" i="11536"/>
  <c r="B42" i="11536"/>
  <c r="D24" i="11536" s="1"/>
  <c r="B56" i="11536"/>
  <c r="B61" i="11536"/>
  <c r="B17" i="11535"/>
  <c r="D11" i="11535" s="1"/>
  <c r="C17" i="11535"/>
  <c r="B42" i="11535"/>
  <c r="D25" i="11535" s="1"/>
  <c r="B56" i="11535"/>
  <c r="B61" i="11535"/>
  <c r="B17" i="11534"/>
  <c r="D11" i="11534" s="1"/>
  <c r="C17" i="11534"/>
  <c r="B42" i="11534"/>
  <c r="D25" i="11534" s="1"/>
  <c r="B56" i="11534"/>
  <c r="B61" i="11534"/>
  <c r="B17" i="11533"/>
  <c r="D11" i="11533" s="1"/>
  <c r="C17" i="11533"/>
  <c r="B42" i="11533"/>
  <c r="D25" i="11533" s="1"/>
  <c r="B56" i="11533"/>
  <c r="B61" i="11533"/>
  <c r="T111" i="264"/>
  <c r="L107" i="1"/>
  <c r="M107" i="1" s="1"/>
  <c r="S107" i="1" s="1"/>
  <c r="T110" i="264"/>
  <c r="Y110" i="264" s="1"/>
  <c r="L106" i="1"/>
  <c r="M106" i="1" s="1"/>
  <c r="S106" i="1" s="1"/>
  <c r="T109" i="264"/>
  <c r="L105" i="1"/>
  <c r="M105" i="1" s="1"/>
  <c r="S105" i="1" s="1"/>
  <c r="T108" i="264"/>
  <c r="Y108" i="264" s="1"/>
  <c r="L104" i="1"/>
  <c r="M104" i="1" s="1"/>
  <c r="S104" i="1" s="1"/>
  <c r="T107" i="264"/>
  <c r="L99" i="1"/>
  <c r="M99" i="1" s="1"/>
  <c r="S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F102" i="1"/>
  <c r="F101" i="1"/>
  <c r="F100" i="1"/>
  <c r="L103" i="1"/>
  <c r="M103" i="1" s="1"/>
  <c r="S103" i="1" s="1"/>
  <c r="L102" i="1"/>
  <c r="M102" i="1" s="1"/>
  <c r="S102" i="1" s="1"/>
  <c r="T106" i="264"/>
  <c r="T105" i="264"/>
  <c r="L101" i="1"/>
  <c r="M101" i="1" s="1"/>
  <c r="S101" i="1" s="1"/>
  <c r="L100" i="1"/>
  <c r="M100" i="1" s="1"/>
  <c r="S100" i="1" s="1"/>
  <c r="T104" i="264"/>
  <c r="T103" i="264"/>
  <c r="Y103" i="264" s="1"/>
  <c r="N57" i="9708"/>
  <c r="N46" i="9708" s="1"/>
  <c r="M57" i="9708"/>
  <c r="L57" i="9708"/>
  <c r="K57" i="9708"/>
  <c r="J57" i="9708"/>
  <c r="I57" i="9708"/>
  <c r="H57" i="9708"/>
  <c r="G57" i="9708"/>
  <c r="N56" i="9708"/>
  <c r="M56" i="9708"/>
  <c r="M58" i="9708" s="1"/>
  <c r="L56" i="9708"/>
  <c r="L58" i="9708" s="1"/>
  <c r="L47" i="9708" s="1"/>
  <c r="K56" i="9708"/>
  <c r="K58" i="9708" s="1"/>
  <c r="K46" i="9708" s="1"/>
  <c r="J56" i="9708"/>
  <c r="J58" i="9708" s="1"/>
  <c r="J47" i="9708" s="1"/>
  <c r="I56" i="9708"/>
  <c r="I58" i="9708" s="1"/>
  <c r="H56" i="9708"/>
  <c r="H58" i="9708" s="1"/>
  <c r="H46" i="9708" s="1"/>
  <c r="G56" i="9708"/>
  <c r="G58" i="9708" s="1"/>
  <c r="E56" i="9708"/>
  <c r="E57" i="9708"/>
  <c r="N52" i="9708"/>
  <c r="M52" i="9708"/>
  <c r="L52" i="9708"/>
  <c r="N51" i="9708"/>
  <c r="N60" i="9708" s="1"/>
  <c r="M51" i="9708"/>
  <c r="M60" i="9708" s="1"/>
  <c r="L51" i="9708"/>
  <c r="L60" i="9708" s="1"/>
  <c r="N50" i="9708"/>
  <c r="M50" i="9708"/>
  <c r="L50" i="9708"/>
  <c r="N49" i="9708"/>
  <c r="M49" i="9708"/>
  <c r="L49" i="9708"/>
  <c r="N48" i="9708"/>
  <c r="M48" i="9708"/>
  <c r="L48" i="9708"/>
  <c r="N45" i="9708"/>
  <c r="M45" i="9708"/>
  <c r="L45" i="9708"/>
  <c r="N37" i="9708"/>
  <c r="M37" i="9708"/>
  <c r="L37" i="9708"/>
  <c r="N36" i="9708"/>
  <c r="M36" i="9708"/>
  <c r="L36" i="9708"/>
  <c r="N33" i="9708"/>
  <c r="M33" i="9708"/>
  <c r="L33" i="9708"/>
  <c r="N32" i="9708"/>
  <c r="M32" i="9708"/>
  <c r="L32" i="9708"/>
  <c r="N31" i="9708"/>
  <c r="M31" i="9708"/>
  <c r="L31" i="9708"/>
  <c r="N30" i="9708"/>
  <c r="M30" i="9708"/>
  <c r="L30" i="9708"/>
  <c r="N29" i="9708"/>
  <c r="M29" i="9708"/>
  <c r="L29" i="9708"/>
  <c r="N28" i="9708"/>
  <c r="M28" i="9708"/>
  <c r="L28" i="9708"/>
  <c r="K5" i="9708"/>
  <c r="K7" i="9708"/>
  <c r="K8" i="9708"/>
  <c r="K6" i="9708"/>
  <c r="K29" i="9708" s="1"/>
  <c r="K9" i="9708"/>
  <c r="K10" i="9708"/>
  <c r="K11" i="9708"/>
  <c r="K12" i="9708"/>
  <c r="K13" i="9708"/>
  <c r="K14" i="9708"/>
  <c r="K32" i="9708" s="1"/>
  <c r="K15" i="9708"/>
  <c r="K33" i="9708" s="1"/>
  <c r="K18" i="9708"/>
  <c r="K34" i="9708" s="1"/>
  <c r="K22" i="9708"/>
  <c r="K35" i="9708" s="1"/>
  <c r="K21" i="9708"/>
  <c r="K36" i="9708" s="1"/>
  <c r="K20" i="9708"/>
  <c r="K37" i="9708" s="1"/>
  <c r="K16" i="9708"/>
  <c r="K17" i="9708"/>
  <c r="K19" i="9708"/>
  <c r="K23" i="9708"/>
  <c r="L24" i="9708"/>
  <c r="N24" i="9708"/>
  <c r="M24" i="9708"/>
  <c r="T102" i="264"/>
  <c r="Y102" i="264" s="1"/>
  <c r="V101" i="264"/>
  <c r="T101" i="264"/>
  <c r="Y101" i="264" s="1"/>
  <c r="Z101" i="264"/>
  <c r="T100" i="264"/>
  <c r="Y100" i="264" s="1"/>
  <c r="J16" i="9708"/>
  <c r="J17" i="9708"/>
  <c r="J19" i="9708"/>
  <c r="J23" i="9708"/>
  <c r="I16" i="9708"/>
  <c r="I17" i="9708"/>
  <c r="I19" i="9708"/>
  <c r="I23" i="9708"/>
  <c r="H16" i="9708"/>
  <c r="H17" i="9708"/>
  <c r="H19" i="9708"/>
  <c r="H23" i="9708"/>
  <c r="G16" i="9708"/>
  <c r="G17" i="9708"/>
  <c r="G19" i="9708"/>
  <c r="G23" i="9708"/>
  <c r="E16" i="9708"/>
  <c r="E17" i="9708"/>
  <c r="E19" i="9708"/>
  <c r="E23" i="9708"/>
  <c r="J5" i="9708"/>
  <c r="J6" i="9708"/>
  <c r="J29" i="9708" s="1"/>
  <c r="J7" i="9708"/>
  <c r="J8" i="9708"/>
  <c r="J9" i="9708"/>
  <c r="J10" i="9708"/>
  <c r="J11" i="9708"/>
  <c r="J12" i="9708"/>
  <c r="J13" i="9708"/>
  <c r="J14" i="9708"/>
  <c r="J32" i="9708" s="1"/>
  <c r="J15" i="9708"/>
  <c r="J33" i="9708" s="1"/>
  <c r="J18" i="9708"/>
  <c r="J34" i="9708" s="1"/>
  <c r="J20" i="9708"/>
  <c r="J37" i="9708" s="1"/>
  <c r="J21" i="9708"/>
  <c r="J36" i="9708" s="1"/>
  <c r="J22" i="9708"/>
  <c r="J35" i="9708" s="1"/>
  <c r="I5" i="9708"/>
  <c r="I6" i="9708"/>
  <c r="I29" i="9708" s="1"/>
  <c r="I7" i="9708"/>
  <c r="I8" i="9708"/>
  <c r="I9" i="9708"/>
  <c r="I10" i="9708"/>
  <c r="I11" i="9708"/>
  <c r="I12" i="9708"/>
  <c r="I13" i="9708"/>
  <c r="I14" i="9708"/>
  <c r="I32" i="9708" s="1"/>
  <c r="I15" i="9708"/>
  <c r="I18" i="9708"/>
  <c r="I34" i="9708" s="1"/>
  <c r="I20" i="9708"/>
  <c r="I37" i="9708" s="1"/>
  <c r="I21" i="9708"/>
  <c r="I36" i="9708" s="1"/>
  <c r="I22" i="9708"/>
  <c r="I35" i="9708" s="1"/>
  <c r="H5" i="9708"/>
  <c r="H6" i="9708"/>
  <c r="H29" i="9708" s="1"/>
  <c r="H7" i="9708"/>
  <c r="H8" i="9708"/>
  <c r="H9" i="9708"/>
  <c r="H10" i="9708"/>
  <c r="H11" i="9708"/>
  <c r="H12" i="9708"/>
  <c r="H13" i="9708"/>
  <c r="H14" i="9708"/>
  <c r="H32" i="9708" s="1"/>
  <c r="H15" i="9708"/>
  <c r="H18" i="9708"/>
  <c r="H34" i="9708" s="1"/>
  <c r="H20" i="9708"/>
  <c r="H37" i="9708" s="1"/>
  <c r="H21" i="9708"/>
  <c r="H36" i="9708" s="1"/>
  <c r="H22" i="9708"/>
  <c r="H35" i="9708" s="1"/>
  <c r="G5" i="9708"/>
  <c r="G6" i="9708"/>
  <c r="G29" i="9708" s="1"/>
  <c r="G7" i="9708"/>
  <c r="G8" i="9708"/>
  <c r="G9" i="9708"/>
  <c r="G10" i="9708"/>
  <c r="G11" i="9708"/>
  <c r="G12" i="9708"/>
  <c r="G13" i="9708"/>
  <c r="G14" i="9708"/>
  <c r="G32" i="9708" s="1"/>
  <c r="G15" i="9708"/>
  <c r="G18" i="9708"/>
  <c r="G34" i="9708" s="1"/>
  <c r="G20" i="9708"/>
  <c r="G37" i="9708" s="1"/>
  <c r="G21" i="9708"/>
  <c r="G36" i="9708" s="1"/>
  <c r="G22" i="9708"/>
  <c r="G35" i="9708" s="1"/>
  <c r="E5" i="9708"/>
  <c r="E6" i="9708"/>
  <c r="E29" i="9708" s="1"/>
  <c r="E7" i="9708"/>
  <c r="E8" i="9708"/>
  <c r="E9" i="9708"/>
  <c r="E10" i="9708"/>
  <c r="E11" i="9708"/>
  <c r="E12" i="9708"/>
  <c r="E13" i="9708"/>
  <c r="E14" i="9708"/>
  <c r="E32" i="9708" s="1"/>
  <c r="E15" i="9708"/>
  <c r="E33" i="9708" s="1"/>
  <c r="E18" i="9708"/>
  <c r="E34" i="9708" s="1"/>
  <c r="E20" i="9708"/>
  <c r="E37" i="9708" s="1"/>
  <c r="E21" i="9708"/>
  <c r="E36" i="9708" s="1"/>
  <c r="E22" i="9708"/>
  <c r="E35" i="9708" s="1"/>
  <c r="I33" i="9708"/>
  <c r="H33" i="9708"/>
  <c r="G33" i="9708"/>
  <c r="K45" i="9708"/>
  <c r="K48" i="9708"/>
  <c r="K49" i="9708"/>
  <c r="K50" i="9708"/>
  <c r="K51" i="9708"/>
  <c r="K52" i="9708"/>
  <c r="J45" i="9708"/>
  <c r="J48" i="9708"/>
  <c r="J49" i="9708"/>
  <c r="J50" i="9708"/>
  <c r="J51" i="9708"/>
  <c r="J52" i="9708"/>
  <c r="I45" i="9708"/>
  <c r="I48" i="9708"/>
  <c r="I49" i="9708"/>
  <c r="I50" i="9708"/>
  <c r="I51" i="9708"/>
  <c r="I52" i="9708"/>
  <c r="H45" i="9708"/>
  <c r="H48" i="9708"/>
  <c r="H49" i="9708"/>
  <c r="H51" i="9708"/>
  <c r="H52" i="9708"/>
  <c r="G45" i="9708"/>
  <c r="G48" i="9708"/>
  <c r="G49" i="9708"/>
  <c r="G51" i="9708"/>
  <c r="G52" i="9708"/>
  <c r="E45" i="9708"/>
  <c r="E48" i="9708"/>
  <c r="E49" i="9708"/>
  <c r="E51" i="9708"/>
  <c r="E52" i="9708"/>
  <c r="C45" i="9708"/>
  <c r="C56" i="9708"/>
  <c r="C47" i="9708" s="1"/>
  <c r="C49" i="9708"/>
  <c r="C50" i="9708"/>
  <c r="C51" i="9708"/>
  <c r="C52" i="9708"/>
  <c r="B56" i="9708"/>
  <c r="B47" i="9708" s="1"/>
  <c r="C92" i="1"/>
  <c r="C91" i="1"/>
  <c r="C90" i="1"/>
  <c r="H86" i="1"/>
  <c r="H85" i="1"/>
  <c r="H84" i="1"/>
  <c r="L84" i="1" s="1"/>
  <c r="M84" i="1" s="1"/>
  <c r="H83" i="1"/>
  <c r="L83" i="1" s="1"/>
  <c r="M83" i="1" s="1"/>
  <c r="Q83" i="1" s="1"/>
  <c r="H82" i="1"/>
  <c r="L82" i="1" s="1"/>
  <c r="M82" i="1" s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C66" i="1"/>
  <c r="E66" i="1"/>
  <c r="H65" i="1"/>
  <c r="C65" i="1"/>
  <c r="E65" i="1"/>
  <c r="L65" i="1" s="1"/>
  <c r="M65" i="1" s="1"/>
  <c r="H64" i="1"/>
  <c r="C64" i="1"/>
  <c r="E64" i="1"/>
  <c r="H63" i="1"/>
  <c r="C63" i="1"/>
  <c r="E63" i="1"/>
  <c r="H62" i="1"/>
  <c r="C62" i="1"/>
  <c r="E62" i="1"/>
  <c r="H61" i="1"/>
  <c r="S61" i="1" s="1"/>
  <c r="C61" i="1"/>
  <c r="E61" i="1"/>
  <c r="L61" i="1" s="1"/>
  <c r="M61" i="1" s="1"/>
  <c r="H60" i="1"/>
  <c r="C60" i="1"/>
  <c r="E60" i="1"/>
  <c r="H59" i="1"/>
  <c r="C59" i="1"/>
  <c r="E59" i="1"/>
  <c r="L59" i="1" s="1"/>
  <c r="M59" i="1" s="1"/>
  <c r="H58" i="1"/>
  <c r="C58" i="1"/>
  <c r="E58" i="1"/>
  <c r="H57" i="1"/>
  <c r="C57" i="1"/>
  <c r="E57" i="1"/>
  <c r="L57" i="1" s="1"/>
  <c r="M57" i="1" s="1"/>
  <c r="H56" i="1"/>
  <c r="C56" i="1"/>
  <c r="E56" i="1"/>
  <c r="H55" i="1"/>
  <c r="C55" i="1"/>
  <c r="E55" i="1"/>
  <c r="H54" i="1"/>
  <c r="C54" i="1"/>
  <c r="E54" i="1"/>
  <c r="H53" i="1"/>
  <c r="S53" i="1" s="1"/>
  <c r="C53" i="1"/>
  <c r="E53" i="1"/>
  <c r="L53" i="1" s="1"/>
  <c r="M53" i="1" s="1"/>
  <c r="H52" i="1"/>
  <c r="C52" i="1"/>
  <c r="E52" i="1"/>
  <c r="H51" i="1"/>
  <c r="C51" i="1"/>
  <c r="E51" i="1"/>
  <c r="L51" i="1" s="1"/>
  <c r="M51" i="1" s="1"/>
  <c r="H50" i="1"/>
  <c r="C50" i="1"/>
  <c r="E50" i="1"/>
  <c r="H49" i="1"/>
  <c r="E49" i="1"/>
  <c r="L49" i="1"/>
  <c r="M49" i="1" s="1"/>
  <c r="H48" i="1"/>
  <c r="E48" i="1"/>
  <c r="L48" i="1" s="1"/>
  <c r="M48" i="1" s="1"/>
  <c r="S48" i="1" s="1"/>
  <c r="H47" i="1"/>
  <c r="E47" i="1"/>
  <c r="L47" i="1" s="1"/>
  <c r="M47" i="1" s="1"/>
  <c r="H46" i="1"/>
  <c r="E46" i="1"/>
  <c r="H45" i="1"/>
  <c r="E45" i="1"/>
  <c r="L45" i="1" s="1"/>
  <c r="M45" i="1" s="1"/>
  <c r="H44" i="1"/>
  <c r="E44" i="1"/>
  <c r="H43" i="1"/>
  <c r="E43" i="1"/>
  <c r="H42" i="1"/>
  <c r="E42" i="1"/>
  <c r="H41" i="1"/>
  <c r="E41" i="1"/>
  <c r="L41" i="1" s="1"/>
  <c r="M41" i="1" s="1"/>
  <c r="H40" i="1"/>
  <c r="E40" i="1"/>
  <c r="H39" i="1"/>
  <c r="E39" i="1"/>
  <c r="H38" i="1"/>
  <c r="E38" i="1"/>
  <c r="H37" i="1"/>
  <c r="E37" i="1"/>
  <c r="H36" i="1"/>
  <c r="E36" i="1"/>
  <c r="L35" i="1"/>
  <c r="M35" i="1" s="1"/>
  <c r="L33" i="1"/>
  <c r="M33" i="1" s="1"/>
  <c r="E31" i="1"/>
  <c r="I31" i="1"/>
  <c r="L31" i="1"/>
  <c r="M31" i="1" s="1"/>
  <c r="E30" i="1"/>
  <c r="I30" i="1"/>
  <c r="L30" i="1" s="1"/>
  <c r="M30" i="1" s="1"/>
  <c r="S30" i="1" s="1"/>
  <c r="E29" i="1"/>
  <c r="I29" i="1"/>
  <c r="L29" i="1" s="1"/>
  <c r="M29" i="1" s="1"/>
  <c r="E28" i="1"/>
  <c r="I28" i="1"/>
  <c r="E27" i="1"/>
  <c r="L27" i="1" s="1"/>
  <c r="M27" i="1" s="1"/>
  <c r="E26" i="1"/>
  <c r="L26" i="1" s="1"/>
  <c r="M26" i="1" s="1"/>
  <c r="E25" i="1"/>
  <c r="I25" i="1"/>
  <c r="L25" i="1" s="1"/>
  <c r="M25" i="1" s="1"/>
  <c r="I24" i="1"/>
  <c r="L24" i="1" s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C12" i="1"/>
  <c r="L12" i="1" s="1"/>
  <c r="M12" i="1" s="1"/>
  <c r="C11" i="1"/>
  <c r="I11" i="1"/>
  <c r="E11" i="1" s="1"/>
  <c r="C10" i="1"/>
  <c r="I10" i="1"/>
  <c r="E10" i="1" s="1"/>
  <c r="C9" i="1"/>
  <c r="I9" i="1"/>
  <c r="C8" i="1"/>
  <c r="E8" i="1" s="1"/>
  <c r="I8" i="1"/>
  <c r="H7" i="1"/>
  <c r="C7" i="1"/>
  <c r="E7" i="1" s="1"/>
  <c r="B52" i="9708"/>
  <c r="B51" i="9708"/>
  <c r="B50" i="9708"/>
  <c r="B49" i="9708"/>
  <c r="B45" i="9708"/>
  <c r="T99" i="264"/>
  <c r="Y99" i="264" s="1"/>
  <c r="T98" i="264"/>
  <c r="T97" i="264"/>
  <c r="Y97" i="264" s="1"/>
  <c r="AD94" i="264"/>
  <c r="T94" i="264"/>
  <c r="Y94" i="264" s="1"/>
  <c r="V94" i="264"/>
  <c r="B88" i="264"/>
  <c r="I88" i="264"/>
  <c r="T88" i="264" s="1"/>
  <c r="AA94" i="264" s="1"/>
  <c r="T96" i="264"/>
  <c r="Y96" i="264" s="1"/>
  <c r="X84" i="1"/>
  <c r="S84" i="1"/>
  <c r="Q84" i="1"/>
  <c r="P84" i="1"/>
  <c r="X83" i="1"/>
  <c r="X82" i="1"/>
  <c r="X81" i="1"/>
  <c r="S83" i="1"/>
  <c r="L3" i="1"/>
  <c r="L4" i="1"/>
  <c r="L5" i="1"/>
  <c r="L6" i="1"/>
  <c r="M6" i="1" s="1"/>
  <c r="M3" i="1"/>
  <c r="M4" i="1"/>
  <c r="M5" i="1"/>
  <c r="S33" i="1"/>
  <c r="S57" i="1"/>
  <c r="S59" i="1"/>
  <c r="S65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T31" i="264"/>
  <c r="AB31" i="264" s="1"/>
  <c r="AB32" i="264" s="1"/>
  <c r="AB33" i="264" s="1"/>
  <c r="AB34" i="264" s="1"/>
  <c r="AB35" i="264" s="1"/>
  <c r="AB36" i="264" s="1"/>
  <c r="AB37" i="264" s="1"/>
  <c r="AB38" i="264" s="1"/>
  <c r="AB39" i="264" s="1"/>
  <c r="AB40" i="264" s="1"/>
  <c r="AB41" i="264" s="1"/>
  <c r="AB42" i="264" s="1"/>
  <c r="AB43" i="264" s="1"/>
  <c r="AB44" i="264" s="1"/>
  <c r="AB45" i="264" s="1"/>
  <c r="AB46" i="264" s="1"/>
  <c r="AB47" i="264" s="1"/>
  <c r="AB48" i="264" s="1"/>
  <c r="AB49" i="264" s="1"/>
  <c r="AB50" i="264" s="1"/>
  <c r="AB51" i="264" s="1"/>
  <c r="AB52" i="264" s="1"/>
  <c r="AB53" i="264" s="1"/>
  <c r="AB54" i="264" s="1"/>
  <c r="AB55" i="264" s="1"/>
  <c r="AB56" i="264" s="1"/>
  <c r="AB57" i="264" s="1"/>
  <c r="AB58" i="264" s="1"/>
  <c r="AB59" i="264" s="1"/>
  <c r="AB60" i="264" s="1"/>
  <c r="AB61" i="264" s="1"/>
  <c r="AB62" i="264" s="1"/>
  <c r="AB63" i="264" s="1"/>
  <c r="AB64" i="264" s="1"/>
  <c r="AB65" i="264" s="1"/>
  <c r="AB66" i="264" s="1"/>
  <c r="AB67" i="264" s="1"/>
  <c r="AB68" i="264" s="1"/>
  <c r="AB69" i="264" s="1"/>
  <c r="AB70" i="264" s="1"/>
  <c r="AB71" i="264" s="1"/>
  <c r="AB72" i="264" s="1"/>
  <c r="AB73" i="264" s="1"/>
  <c r="AB74" i="264" s="1"/>
  <c r="AB75" i="264" s="1"/>
  <c r="AB76" i="264" s="1"/>
  <c r="AB77" i="264" s="1"/>
  <c r="AB78" i="264" s="1"/>
  <c r="AB79" i="264" s="1"/>
  <c r="AB80" i="264" s="1"/>
  <c r="AB81" i="264" s="1"/>
  <c r="AB82" i="264" s="1"/>
  <c r="AB83" i="264" s="1"/>
  <c r="AB84" i="264" s="1"/>
  <c r="AB85" i="264" s="1"/>
  <c r="AB86" i="264" s="1"/>
  <c r="AB87" i="264" s="1"/>
  <c r="AB88" i="264" s="1"/>
  <c r="AB89" i="264" s="1"/>
  <c r="AB90" i="264" s="1"/>
  <c r="T90" i="264"/>
  <c r="T95" i="264"/>
  <c r="Y95" i="264" s="1"/>
  <c r="Z96" i="264"/>
  <c r="Z95" i="264"/>
  <c r="Z94" i="264"/>
  <c r="V96" i="264"/>
  <c r="T89" i="264"/>
  <c r="Z89" i="264" s="1"/>
  <c r="Z90" i="264"/>
  <c r="B87" i="264"/>
  <c r="I87" i="264"/>
  <c r="B86" i="264"/>
  <c r="I86" i="264"/>
  <c r="T86" i="264" s="1"/>
  <c r="B85" i="264"/>
  <c r="I85" i="264"/>
  <c r="B84" i="264"/>
  <c r="I84" i="264"/>
  <c r="B83" i="264"/>
  <c r="I83" i="264"/>
  <c r="B82" i="264"/>
  <c r="I82" i="264"/>
  <c r="B81" i="264"/>
  <c r="I81" i="264"/>
  <c r="B80" i="264"/>
  <c r="I80" i="264"/>
  <c r="B79" i="264"/>
  <c r="I79" i="264"/>
  <c r="B78" i="264"/>
  <c r="I78" i="264"/>
  <c r="B77" i="264"/>
  <c r="I77" i="264"/>
  <c r="B76" i="264"/>
  <c r="I76" i="264"/>
  <c r="B75" i="264"/>
  <c r="I75" i="264"/>
  <c r="B74" i="264"/>
  <c r="I74" i="264"/>
  <c r="B73" i="264"/>
  <c r="I73" i="264"/>
  <c r="B72" i="264"/>
  <c r="I72" i="264"/>
  <c r="B71" i="264"/>
  <c r="I71" i="264"/>
  <c r="B70" i="264"/>
  <c r="I70" i="264"/>
  <c r="B69" i="264"/>
  <c r="I69" i="264"/>
  <c r="D68" i="264"/>
  <c r="F68" i="264"/>
  <c r="I68" i="264" s="1"/>
  <c r="H68" i="264"/>
  <c r="K68" i="264"/>
  <c r="Q68" i="264"/>
  <c r="D67" i="264"/>
  <c r="F67" i="264"/>
  <c r="H67" i="264"/>
  <c r="I67" i="264"/>
  <c r="K67" i="264"/>
  <c r="Q67" i="264"/>
  <c r="D66" i="264"/>
  <c r="F66" i="264"/>
  <c r="I66" i="264" s="1"/>
  <c r="H66" i="264"/>
  <c r="K66" i="264"/>
  <c r="Q66" i="264"/>
  <c r="D65" i="264"/>
  <c r="F65" i="264"/>
  <c r="H65" i="264"/>
  <c r="K65" i="264"/>
  <c r="Q65" i="264"/>
  <c r="D64" i="264"/>
  <c r="F64" i="264"/>
  <c r="H64" i="264"/>
  <c r="K64" i="264"/>
  <c r="Q64" i="264"/>
  <c r="D63" i="264"/>
  <c r="F63" i="264"/>
  <c r="I63" i="264" s="1"/>
  <c r="H63" i="264"/>
  <c r="K63" i="264"/>
  <c r="Q63" i="264"/>
  <c r="D62" i="264"/>
  <c r="F62" i="264"/>
  <c r="H62" i="264"/>
  <c r="I62" i="264"/>
  <c r="K62" i="264"/>
  <c r="Q62" i="264"/>
  <c r="D61" i="264"/>
  <c r="F61" i="264"/>
  <c r="I61" i="264" s="1"/>
  <c r="H61" i="264"/>
  <c r="K61" i="264"/>
  <c r="Q61" i="264"/>
  <c r="D60" i="264"/>
  <c r="F60" i="264"/>
  <c r="H60" i="264"/>
  <c r="K60" i="264"/>
  <c r="Q60" i="264"/>
  <c r="D59" i="264"/>
  <c r="F59" i="264"/>
  <c r="H59" i="264"/>
  <c r="I59" i="264"/>
  <c r="K59" i="264"/>
  <c r="Q59" i="264"/>
  <c r="D58" i="264"/>
  <c r="F58" i="264"/>
  <c r="H58" i="264"/>
  <c r="I58" i="264"/>
  <c r="K58" i="264"/>
  <c r="Q58" i="264"/>
  <c r="D57" i="264"/>
  <c r="F57" i="264"/>
  <c r="H57" i="264"/>
  <c r="K57" i="264"/>
  <c r="Q57" i="264"/>
  <c r="D56" i="264"/>
  <c r="F56" i="264"/>
  <c r="I56" i="264" s="1"/>
  <c r="H56" i="264"/>
  <c r="K56" i="264"/>
  <c r="Q56" i="264"/>
  <c r="D55" i="264"/>
  <c r="F55" i="264"/>
  <c r="H55" i="264"/>
  <c r="I55" i="264"/>
  <c r="K55" i="264"/>
  <c r="Q55" i="264"/>
  <c r="D54" i="264"/>
  <c r="F54" i="264"/>
  <c r="I54" i="264" s="1"/>
  <c r="H54" i="264"/>
  <c r="K54" i="264"/>
  <c r="Q54" i="264"/>
  <c r="D53" i="264"/>
  <c r="F53" i="264"/>
  <c r="I53" i="264" s="1"/>
  <c r="H53" i="264"/>
  <c r="K53" i="264"/>
  <c r="Q53" i="264"/>
  <c r="D52" i="264"/>
  <c r="F52" i="264"/>
  <c r="H52" i="264"/>
  <c r="I52" i="264"/>
  <c r="K52" i="264"/>
  <c r="Q52" i="264"/>
  <c r="F51" i="264"/>
  <c r="I51" i="264" s="1"/>
  <c r="T51" i="264" s="1"/>
  <c r="K51" i="264"/>
  <c r="F50" i="264"/>
  <c r="I50" i="264" s="1"/>
  <c r="K50" i="264"/>
  <c r="F49" i="264"/>
  <c r="I49" i="264"/>
  <c r="T49" i="264" s="1"/>
  <c r="K49" i="264"/>
  <c r="F48" i="264"/>
  <c r="I48" i="264" s="1"/>
  <c r="K48" i="264"/>
  <c r="F47" i="264"/>
  <c r="I47" i="264"/>
  <c r="T47" i="264" s="1"/>
  <c r="K47" i="264"/>
  <c r="F46" i="264"/>
  <c r="I46" i="264" s="1"/>
  <c r="K46" i="264"/>
  <c r="F45" i="264"/>
  <c r="I45" i="264"/>
  <c r="K45" i="264"/>
  <c r="T45" i="264"/>
  <c r="F44" i="264"/>
  <c r="I44" i="264" s="1"/>
  <c r="K44" i="264"/>
  <c r="F43" i="264"/>
  <c r="I43" i="264" s="1"/>
  <c r="T43" i="264" s="1"/>
  <c r="K43" i="264"/>
  <c r="F42" i="264"/>
  <c r="I42" i="264" s="1"/>
  <c r="K42" i="264"/>
  <c r="F41" i="264"/>
  <c r="I41" i="264"/>
  <c r="T41" i="264" s="1"/>
  <c r="K41" i="264"/>
  <c r="F40" i="264"/>
  <c r="I40" i="264" s="1"/>
  <c r="K40" i="264"/>
  <c r="F39" i="264"/>
  <c r="I39" i="264"/>
  <c r="T39" i="264" s="1"/>
  <c r="K39" i="264"/>
  <c r="F38" i="264"/>
  <c r="I38" i="264" s="1"/>
  <c r="K38" i="264"/>
  <c r="T37" i="264"/>
  <c r="Z88" i="264"/>
  <c r="B5" i="264"/>
  <c r="T5" i="264" s="1"/>
  <c r="B7" i="264"/>
  <c r="B9" i="264"/>
  <c r="F9" i="264"/>
  <c r="I9" i="264"/>
  <c r="K5" i="264"/>
  <c r="K7" i="264"/>
  <c r="K9" i="264"/>
  <c r="S9" i="264"/>
  <c r="T10" i="264"/>
  <c r="T11" i="264"/>
  <c r="T12" i="264"/>
  <c r="T13" i="264"/>
  <c r="T26" i="264"/>
  <c r="T27" i="264"/>
  <c r="T28" i="264"/>
  <c r="T29" i="264"/>
  <c r="T30" i="264"/>
  <c r="T32" i="264"/>
  <c r="T33" i="264"/>
  <c r="T35" i="264"/>
  <c r="R19" i="1" l="1"/>
  <c r="Q19" i="1"/>
  <c r="Y86" i="264"/>
  <c r="Z86" i="264"/>
  <c r="H50" i="9708"/>
  <c r="F10" i="11564"/>
  <c r="F12" i="11564" s="1"/>
  <c r="F13" i="11564" s="1"/>
  <c r="V105" i="264"/>
  <c r="Y105" i="264"/>
  <c r="T82" i="264"/>
  <c r="L7" i="1"/>
  <c r="M7" i="1" s="1"/>
  <c r="L40" i="1"/>
  <c r="M40" i="1" s="1"/>
  <c r="S40" i="1" s="1"/>
  <c r="V106" i="264"/>
  <c r="Y106" i="264"/>
  <c r="B45" i="11536"/>
  <c r="L37" i="1"/>
  <c r="M37" i="1" s="1"/>
  <c r="Z100" i="264"/>
  <c r="D40" i="11536"/>
  <c r="B45" i="11537"/>
  <c r="D11" i="11537"/>
  <c r="Z98" i="264"/>
  <c r="Y98" i="264"/>
  <c r="L85" i="1"/>
  <c r="M85" i="1" s="1"/>
  <c r="B8" i="11564"/>
  <c r="B12" i="11564" s="1"/>
  <c r="B13" i="11564" s="1"/>
  <c r="N15" i="11564"/>
  <c r="N17" i="11564" s="1"/>
  <c r="N7" i="11564" s="1"/>
  <c r="N12" i="11564" s="1"/>
  <c r="N13" i="11564" s="1"/>
  <c r="Q56" i="9708"/>
  <c r="Q58" i="9708" s="1"/>
  <c r="Q47" i="9708" s="1"/>
  <c r="Q53" i="9708" s="1"/>
  <c r="Q54" i="9708" s="1"/>
  <c r="D36" i="11536"/>
  <c r="T84" i="264"/>
  <c r="C48" i="9708"/>
  <c r="C8" i="11564"/>
  <c r="C12" i="11564" s="1"/>
  <c r="C13" i="11564" s="1"/>
  <c r="V100" i="264"/>
  <c r="V104" i="264"/>
  <c r="Y104" i="264"/>
  <c r="O15" i="11564"/>
  <c r="O17" i="11564" s="1"/>
  <c r="O7" i="11564" s="1"/>
  <c r="O12" i="11564" s="1"/>
  <c r="O13" i="11564" s="1"/>
  <c r="R56" i="9708"/>
  <c r="R58" i="9708" s="1"/>
  <c r="R47" i="9708" s="1"/>
  <c r="R53" i="9708" s="1"/>
  <c r="R54" i="9708" s="1"/>
  <c r="V110" i="264"/>
  <c r="D32" i="11536"/>
  <c r="D40" i="11537"/>
  <c r="B46" i="11539"/>
  <c r="P83" i="1"/>
  <c r="L55" i="1"/>
  <c r="M55" i="1" s="1"/>
  <c r="S55" i="1" s="1"/>
  <c r="L63" i="1"/>
  <c r="M63" i="1" s="1"/>
  <c r="S63" i="1" s="1"/>
  <c r="E50" i="9708"/>
  <c r="D10" i="11564"/>
  <c r="D12" i="11564" s="1"/>
  <c r="D13" i="11564" s="1"/>
  <c r="J60" i="9708"/>
  <c r="P15" i="11564"/>
  <c r="P17" i="11564" s="1"/>
  <c r="P7" i="11564" s="1"/>
  <c r="P12" i="11564" s="1"/>
  <c r="P13" i="11564" s="1"/>
  <c r="S56" i="9708"/>
  <c r="S58" i="9708" s="1"/>
  <c r="S47" i="9708" s="1"/>
  <c r="S53" i="9708" s="1"/>
  <c r="S54" i="9708" s="1"/>
  <c r="V107" i="264"/>
  <c r="Y107" i="264"/>
  <c r="D27" i="11536"/>
  <c r="V109" i="264"/>
  <c r="Y109" i="264"/>
  <c r="T7" i="264"/>
  <c r="T85" i="264"/>
  <c r="AA85" i="264" s="1"/>
  <c r="L39" i="1"/>
  <c r="M39" i="1" s="1"/>
  <c r="P39" i="1" s="1"/>
  <c r="L91" i="1"/>
  <c r="M91" i="1" s="1"/>
  <c r="E10" i="11564"/>
  <c r="E12" i="11564" s="1"/>
  <c r="E13" i="11564" s="1"/>
  <c r="V111" i="264"/>
  <c r="AA111" i="264"/>
  <c r="Y111" i="264"/>
  <c r="AA112" i="264"/>
  <c r="D32" i="11537"/>
  <c r="M39" i="9708"/>
  <c r="M40" i="9708" s="1"/>
  <c r="X40" i="9708"/>
  <c r="Z41" i="9708"/>
  <c r="I60" i="9708"/>
  <c r="K60" i="9708"/>
  <c r="L39" i="9708"/>
  <c r="L40" i="9708" s="1"/>
  <c r="N39" i="9708"/>
  <c r="N40" i="9708" s="1"/>
  <c r="O32" i="9708" s="1"/>
  <c r="C53" i="9708"/>
  <c r="C54" i="9708" s="1"/>
  <c r="R15" i="1"/>
  <c r="Q15" i="1"/>
  <c r="P15" i="1"/>
  <c r="S15" i="1"/>
  <c r="S82" i="1"/>
  <c r="P82" i="1"/>
  <c r="Q82" i="1"/>
  <c r="R23" i="1"/>
  <c r="Q23" i="1"/>
  <c r="S23" i="1"/>
  <c r="P23" i="1"/>
  <c r="S19" i="1"/>
  <c r="P19" i="1"/>
  <c r="E9" i="1"/>
  <c r="L36" i="1"/>
  <c r="M36" i="1" s="1"/>
  <c r="S36" i="1" s="1"/>
  <c r="L43" i="1"/>
  <c r="M43" i="1" s="1"/>
  <c r="S43" i="1" s="1"/>
  <c r="L44" i="1"/>
  <c r="M44" i="1" s="1"/>
  <c r="S44" i="1" s="1"/>
  <c r="L60" i="1"/>
  <c r="M60" i="1" s="1"/>
  <c r="L62" i="1"/>
  <c r="M62" i="1" s="1"/>
  <c r="L64" i="1"/>
  <c r="M64" i="1" s="1"/>
  <c r="L66" i="1"/>
  <c r="M66" i="1" s="1"/>
  <c r="E38" i="9708"/>
  <c r="G38" i="9708"/>
  <c r="H38" i="9708"/>
  <c r="I38" i="9708"/>
  <c r="J38" i="9708"/>
  <c r="K38" i="9708"/>
  <c r="G60" i="9708"/>
  <c r="E60" i="9708"/>
  <c r="H60" i="9708"/>
  <c r="Y82" i="264"/>
  <c r="Z82" i="264"/>
  <c r="T80" i="264"/>
  <c r="T81" i="264"/>
  <c r="V95" i="264"/>
  <c r="AA95" i="264"/>
  <c r="AA96" i="264"/>
  <c r="AA90" i="264"/>
  <c r="Z97" i="264"/>
  <c r="V97" i="264"/>
  <c r="AA100" i="264"/>
  <c r="V99" i="264"/>
  <c r="L8" i="1"/>
  <c r="M8" i="1" s="1"/>
  <c r="R17" i="1"/>
  <c r="P17" i="1"/>
  <c r="Q17" i="1"/>
  <c r="S17" i="1"/>
  <c r="P61" i="1"/>
  <c r="Q61" i="1"/>
  <c r="P63" i="1"/>
  <c r="Q63" i="1"/>
  <c r="P65" i="1"/>
  <c r="Q65" i="1"/>
  <c r="T9" i="264"/>
  <c r="AA97" i="264"/>
  <c r="L10" i="1"/>
  <c r="M10" i="1" s="1"/>
  <c r="P10" i="1" s="1"/>
  <c r="R13" i="1"/>
  <c r="P13" i="1"/>
  <c r="Q13" i="1"/>
  <c r="S13" i="1"/>
  <c r="R21" i="1"/>
  <c r="P21" i="1"/>
  <c r="Q21" i="1"/>
  <c r="S21" i="1"/>
  <c r="R33" i="1"/>
  <c r="P33" i="1"/>
  <c r="Q33" i="1"/>
  <c r="R60" i="1"/>
  <c r="S60" i="1"/>
  <c r="B48" i="9708"/>
  <c r="L9" i="1"/>
  <c r="M9" i="1" s="1"/>
  <c r="P9" i="1" s="1"/>
  <c r="L11" i="1"/>
  <c r="M11" i="1" s="1"/>
  <c r="R11" i="1" s="1"/>
  <c r="L28" i="1"/>
  <c r="M28" i="1" s="1"/>
  <c r="L38" i="1"/>
  <c r="M38" i="1" s="1"/>
  <c r="S38" i="1" s="1"/>
  <c r="L42" i="1"/>
  <c r="M42" i="1" s="1"/>
  <c r="S42" i="1" s="1"/>
  <c r="L46" i="1"/>
  <c r="M46" i="1" s="1"/>
  <c r="S46" i="1" s="1"/>
  <c r="L50" i="1"/>
  <c r="M50" i="1" s="1"/>
  <c r="S50" i="1" s="1"/>
  <c r="L52" i="1"/>
  <c r="M52" i="1" s="1"/>
  <c r="S52" i="1" s="1"/>
  <c r="L54" i="1"/>
  <c r="M54" i="1" s="1"/>
  <c r="S54" i="1" s="1"/>
  <c r="L56" i="1"/>
  <c r="M56" i="1" s="1"/>
  <c r="S56" i="1" s="1"/>
  <c r="L58" i="1"/>
  <c r="M58" i="1" s="1"/>
  <c r="S58" i="1" s="1"/>
  <c r="L90" i="1"/>
  <c r="M90" i="1" s="1"/>
  <c r="L92" i="1"/>
  <c r="M92" i="1" s="1"/>
  <c r="B45" i="11533"/>
  <c r="D40" i="11533"/>
  <c r="B45" i="11534"/>
  <c r="D16" i="11534"/>
  <c r="B45" i="11535"/>
  <c r="D40" i="11535"/>
  <c r="D38" i="11536"/>
  <c r="D34" i="11536"/>
  <c r="D30" i="11536"/>
  <c r="D25" i="11536"/>
  <c r="D38" i="11537"/>
  <c r="D34" i="11537"/>
  <c r="D30" i="11537"/>
  <c r="D25" i="11537"/>
  <c r="B46" i="11542"/>
  <c r="AA103" i="264"/>
  <c r="D38" i="11533"/>
  <c r="D14" i="11534"/>
  <c r="Y84" i="264"/>
  <c r="Z84" i="264"/>
  <c r="Y80" i="264"/>
  <c r="Z80" i="264"/>
  <c r="T52" i="264"/>
  <c r="AA52" i="264" s="1"/>
  <c r="T58" i="264"/>
  <c r="T59" i="264"/>
  <c r="Z103" i="264"/>
  <c r="Z105" i="264"/>
  <c r="Z107" i="264"/>
  <c r="Z109" i="264"/>
  <c r="Z111" i="264"/>
  <c r="AA104" i="264"/>
  <c r="AA106" i="264"/>
  <c r="AA108" i="264"/>
  <c r="AA110" i="264"/>
  <c r="Y88" i="264"/>
  <c r="T54" i="264"/>
  <c r="T55" i="264"/>
  <c r="AA55" i="264" s="1"/>
  <c r="T56" i="264"/>
  <c r="T61" i="264"/>
  <c r="T62" i="264"/>
  <c r="T63" i="264"/>
  <c r="T66" i="264"/>
  <c r="T67" i="264"/>
  <c r="T68" i="264"/>
  <c r="AA68" i="264" s="1"/>
  <c r="T69" i="264"/>
  <c r="AA70" i="264" s="1"/>
  <c r="T70" i="264"/>
  <c r="T71" i="264"/>
  <c r="T72" i="264"/>
  <c r="T73" i="264"/>
  <c r="T74" i="264"/>
  <c r="T75" i="264"/>
  <c r="T76" i="264"/>
  <c r="Z76" i="264" s="1"/>
  <c r="T77" i="264"/>
  <c r="AA77" i="264" s="1"/>
  <c r="T78" i="264"/>
  <c r="T79" i="264"/>
  <c r="T83" i="264"/>
  <c r="T87" i="264"/>
  <c r="AA89" i="264"/>
  <c r="V98" i="264"/>
  <c r="AA98" i="264"/>
  <c r="AA101" i="264"/>
  <c r="V103" i="264"/>
  <c r="V108" i="264"/>
  <c r="Z104" i="264"/>
  <c r="Z106" i="264"/>
  <c r="Z108" i="264"/>
  <c r="Z110" i="264"/>
  <c r="AA105" i="264"/>
  <c r="AA107" i="264"/>
  <c r="AA109" i="264"/>
  <c r="X58" i="9708"/>
  <c r="X47" i="9708" s="1"/>
  <c r="Q107" i="1"/>
  <c r="R107" i="1"/>
  <c r="P107" i="1"/>
  <c r="P99" i="1"/>
  <c r="R99" i="1"/>
  <c r="P100" i="1"/>
  <c r="R100" i="1"/>
  <c r="P101" i="1"/>
  <c r="R101" i="1"/>
  <c r="P102" i="1"/>
  <c r="R102" i="1"/>
  <c r="P103" i="1"/>
  <c r="R103" i="1"/>
  <c r="P104" i="1"/>
  <c r="R104" i="1"/>
  <c r="P105" i="1"/>
  <c r="R105" i="1"/>
  <c r="P106" i="1"/>
  <c r="R106" i="1"/>
  <c r="Q99" i="1"/>
  <c r="Q100" i="1"/>
  <c r="Q101" i="1"/>
  <c r="Q102" i="1"/>
  <c r="Q103" i="1"/>
  <c r="Q104" i="1"/>
  <c r="Q105" i="1"/>
  <c r="Q106" i="1"/>
  <c r="D40" i="11542"/>
  <c r="D38" i="11542"/>
  <c r="D36" i="11542"/>
  <c r="D34" i="11542"/>
  <c r="D32" i="11542"/>
  <c r="D30" i="11542"/>
  <c r="D27" i="11542"/>
  <c r="D25" i="11542"/>
  <c r="D17" i="11542"/>
  <c r="D15" i="11542"/>
  <c r="D13" i="11542"/>
  <c r="D41" i="11542"/>
  <c r="D39" i="11542"/>
  <c r="D37" i="11542"/>
  <c r="D35" i="11542"/>
  <c r="D33" i="11542"/>
  <c r="D31" i="11542"/>
  <c r="D28" i="11542"/>
  <c r="D16" i="11542"/>
  <c r="D14" i="11542"/>
  <c r="D41" i="11539"/>
  <c r="D39" i="11539"/>
  <c r="D37" i="11539"/>
  <c r="D35" i="11539"/>
  <c r="D33" i="11539"/>
  <c r="D31" i="11539"/>
  <c r="D28" i="11539"/>
  <c r="D26" i="11539"/>
  <c r="D16" i="11539"/>
  <c r="D14" i="11539"/>
  <c r="D12" i="11539"/>
  <c r="D40" i="11539"/>
  <c r="D38" i="11539"/>
  <c r="D36" i="11539"/>
  <c r="D34" i="11539"/>
  <c r="D32" i="11539"/>
  <c r="D30" i="11539"/>
  <c r="D27" i="11539"/>
  <c r="D17" i="11539"/>
  <c r="D15" i="11539"/>
  <c r="D13" i="11539"/>
  <c r="D15" i="11537"/>
  <c r="D13" i="11537"/>
  <c r="D39" i="11537"/>
  <c r="D37" i="11537"/>
  <c r="D35" i="11537"/>
  <c r="D33" i="11537"/>
  <c r="D31" i="11537"/>
  <c r="D29" i="11537"/>
  <c r="D26" i="11537"/>
  <c r="D16" i="11537"/>
  <c r="D14" i="11537"/>
  <c r="D15" i="11536"/>
  <c r="D13" i="11536"/>
  <c r="D11" i="11536"/>
  <c r="D39" i="11536"/>
  <c r="D37" i="11536"/>
  <c r="D35" i="11536"/>
  <c r="D33" i="11536"/>
  <c r="D31" i="11536"/>
  <c r="D29" i="11536"/>
  <c r="D26" i="11536"/>
  <c r="D16" i="11536"/>
  <c r="D14" i="11536"/>
  <c r="D39" i="11535"/>
  <c r="D37" i="11535"/>
  <c r="D35" i="11535"/>
  <c r="D33" i="11535"/>
  <c r="D31" i="11535"/>
  <c r="D29" i="11535"/>
  <c r="D26" i="11535"/>
  <c r="D24" i="11535"/>
  <c r="D16" i="11535"/>
  <c r="D14" i="11535"/>
  <c r="D12" i="11535"/>
  <c r="D38" i="11535"/>
  <c r="D36" i="11535"/>
  <c r="D34" i="11535"/>
  <c r="D32" i="11535"/>
  <c r="D30" i="11535"/>
  <c r="D27" i="11535"/>
  <c r="D15" i="11535"/>
  <c r="D13" i="11535"/>
  <c r="D39" i="11534"/>
  <c r="D37" i="11534"/>
  <c r="D35" i="11534"/>
  <c r="D33" i="11534"/>
  <c r="D31" i="11534"/>
  <c r="D29" i="11534"/>
  <c r="D26" i="11534"/>
  <c r="D24" i="11534"/>
  <c r="D12" i="11534"/>
  <c r="D40" i="11534"/>
  <c r="D38" i="11534"/>
  <c r="D36" i="11534"/>
  <c r="D34" i="11534"/>
  <c r="D32" i="11534"/>
  <c r="D30" i="11534"/>
  <c r="D27" i="11534"/>
  <c r="D15" i="11534"/>
  <c r="D13" i="11534"/>
  <c r="D39" i="11533"/>
  <c r="D37" i="11533"/>
  <c r="D35" i="11533"/>
  <c r="D33" i="11533"/>
  <c r="D31" i="11533"/>
  <c r="D29" i="11533"/>
  <c r="D26" i="11533"/>
  <c r="D24" i="11533"/>
  <c r="D16" i="11533"/>
  <c r="D14" i="11533"/>
  <c r="D12" i="11533"/>
  <c r="D36" i="11533"/>
  <c r="D34" i="11533"/>
  <c r="D32" i="11533"/>
  <c r="D30" i="11533"/>
  <c r="D27" i="11533"/>
  <c r="D15" i="11533"/>
  <c r="D13" i="11533"/>
  <c r="N58" i="9708"/>
  <c r="N47" i="9708" s="1"/>
  <c r="P94" i="1"/>
  <c r="Q94" i="1"/>
  <c r="Q96" i="1"/>
  <c r="S96" i="1"/>
  <c r="Q98" i="1"/>
  <c r="S98" i="1"/>
  <c r="P91" i="1"/>
  <c r="Q91" i="1"/>
  <c r="S93" i="1"/>
  <c r="P93" i="1"/>
  <c r="Q93" i="1"/>
  <c r="P95" i="1"/>
  <c r="S95" i="1"/>
  <c r="Q95" i="1"/>
  <c r="K47" i="9708"/>
  <c r="K53" i="9708" s="1"/>
  <c r="K54" i="9708" s="1"/>
  <c r="H47" i="9708"/>
  <c r="J24" i="9708"/>
  <c r="I31" i="9708"/>
  <c r="I30" i="9708"/>
  <c r="I28" i="9708"/>
  <c r="E24" i="9708"/>
  <c r="H24" i="9708"/>
  <c r="E31" i="9708"/>
  <c r="E30" i="9708"/>
  <c r="E28" i="9708"/>
  <c r="G24" i="9708"/>
  <c r="E58" i="9708"/>
  <c r="E47" i="9708" s="1"/>
  <c r="J46" i="9708"/>
  <c r="J53" i="9708" s="1"/>
  <c r="J54" i="9708" s="1"/>
  <c r="B53" i="9708"/>
  <c r="B54" i="9708" s="1"/>
  <c r="G31" i="9708"/>
  <c r="G30" i="9708"/>
  <c r="G28" i="9708"/>
  <c r="H31" i="9708"/>
  <c r="H30" i="9708"/>
  <c r="H28" i="9708"/>
  <c r="H39" i="9708" s="1"/>
  <c r="H40" i="9708" s="1"/>
  <c r="J31" i="9708"/>
  <c r="J30" i="9708"/>
  <c r="I24" i="9708"/>
  <c r="K24" i="9708"/>
  <c r="J28" i="9708"/>
  <c r="K28" i="9708"/>
  <c r="K30" i="9708"/>
  <c r="K31" i="9708"/>
  <c r="Y62" i="264"/>
  <c r="AA62" i="264"/>
  <c r="AA67" i="264"/>
  <c r="Y67" i="264"/>
  <c r="Z71" i="264"/>
  <c r="AA71" i="264"/>
  <c r="Y71" i="264"/>
  <c r="AA73" i="264"/>
  <c r="Y73" i="264"/>
  <c r="Z73" i="264"/>
  <c r="Z75" i="264"/>
  <c r="AA75" i="264"/>
  <c r="Y75" i="264"/>
  <c r="AA80" i="264"/>
  <c r="U79" i="264"/>
  <c r="Z79" i="264"/>
  <c r="AA79" i="264"/>
  <c r="Y79" i="264"/>
  <c r="U83" i="264"/>
  <c r="AA83" i="264"/>
  <c r="Z83" i="264"/>
  <c r="AA84" i="264"/>
  <c r="Y83" i="264"/>
  <c r="AA87" i="264"/>
  <c r="Z87" i="264"/>
  <c r="AA88" i="264"/>
  <c r="Y87" i="264"/>
  <c r="Y61" i="264"/>
  <c r="AA63" i="264"/>
  <c r="Y63" i="264"/>
  <c r="Y66" i="264"/>
  <c r="Y68" i="264"/>
  <c r="Z70" i="264"/>
  <c r="Y70" i="264"/>
  <c r="Y72" i="264"/>
  <c r="AA72" i="264"/>
  <c r="Z72" i="264"/>
  <c r="AA74" i="264"/>
  <c r="Y74" i="264"/>
  <c r="Z74" i="264"/>
  <c r="Y78" i="264"/>
  <c r="U78" i="264"/>
  <c r="AA78" i="264"/>
  <c r="Z78" i="264"/>
  <c r="AA59" i="264"/>
  <c r="Y81" i="264"/>
  <c r="AA81" i="264"/>
  <c r="Z81" i="264"/>
  <c r="AA82" i="264"/>
  <c r="U81" i="264"/>
  <c r="Y85" i="264"/>
  <c r="I57" i="264"/>
  <c r="T57" i="264" s="1"/>
  <c r="I60" i="264"/>
  <c r="T60" i="264" s="1"/>
  <c r="I64" i="264"/>
  <c r="T64" i="264" s="1"/>
  <c r="I65" i="264"/>
  <c r="T65" i="264" s="1"/>
  <c r="U80" i="264"/>
  <c r="U82" i="264"/>
  <c r="U84" i="264"/>
  <c r="U86" i="264"/>
  <c r="T38" i="264"/>
  <c r="T40" i="264"/>
  <c r="T42" i="264"/>
  <c r="AA42" i="264" s="1"/>
  <c r="T44" i="264"/>
  <c r="T46" i="264"/>
  <c r="T48" i="264"/>
  <c r="T50" i="264"/>
  <c r="AA50" i="264" s="1"/>
  <c r="T53" i="264"/>
  <c r="AA53" i="264" s="1"/>
  <c r="P7" i="1"/>
  <c r="S7" i="1"/>
  <c r="Q7" i="1"/>
  <c r="R7" i="1"/>
  <c r="Q11" i="1"/>
  <c r="R14" i="1"/>
  <c r="Q14" i="1"/>
  <c r="P14" i="1"/>
  <c r="S14" i="1"/>
  <c r="R18" i="1"/>
  <c r="Q18" i="1"/>
  <c r="P18" i="1"/>
  <c r="S18" i="1"/>
  <c r="R22" i="1"/>
  <c r="Q22" i="1"/>
  <c r="P22" i="1"/>
  <c r="S22" i="1"/>
  <c r="Q26" i="1"/>
  <c r="R26" i="1"/>
  <c r="P26" i="1"/>
  <c r="S26" i="1"/>
  <c r="Q28" i="1"/>
  <c r="R28" i="1"/>
  <c r="P28" i="1"/>
  <c r="S28" i="1"/>
  <c r="R29" i="1"/>
  <c r="P29" i="1"/>
  <c r="S29" i="1"/>
  <c r="Q29" i="1"/>
  <c r="R35" i="1"/>
  <c r="P35" i="1"/>
  <c r="S35" i="1"/>
  <c r="Q35" i="1"/>
  <c r="Q38" i="1"/>
  <c r="R38" i="1"/>
  <c r="P38" i="1"/>
  <c r="R39" i="1"/>
  <c r="Q42" i="1"/>
  <c r="R42" i="1"/>
  <c r="P42" i="1"/>
  <c r="R43" i="1"/>
  <c r="P43" i="1"/>
  <c r="Q46" i="1"/>
  <c r="R46" i="1"/>
  <c r="P46" i="1"/>
  <c r="R47" i="1"/>
  <c r="P47" i="1"/>
  <c r="S47" i="1"/>
  <c r="Q47" i="1"/>
  <c r="Q50" i="1"/>
  <c r="P50" i="1"/>
  <c r="R50" i="1"/>
  <c r="Q52" i="1"/>
  <c r="P52" i="1"/>
  <c r="R52" i="1"/>
  <c r="Q54" i="1"/>
  <c r="Q58" i="1"/>
  <c r="P58" i="1"/>
  <c r="R58" i="1"/>
  <c r="Q8" i="1"/>
  <c r="R8" i="1"/>
  <c r="P8" i="1"/>
  <c r="S8" i="1"/>
  <c r="S10" i="1"/>
  <c r="Q12" i="1"/>
  <c r="R12" i="1"/>
  <c r="P12" i="1"/>
  <c r="S12" i="1"/>
  <c r="R16" i="1"/>
  <c r="Q16" i="1"/>
  <c r="P16" i="1"/>
  <c r="S16" i="1"/>
  <c r="R20" i="1"/>
  <c r="Q20" i="1"/>
  <c r="P20" i="1"/>
  <c r="S20" i="1"/>
  <c r="R24" i="1"/>
  <c r="Q24" i="1"/>
  <c r="P24" i="1"/>
  <c r="S24" i="1"/>
  <c r="R25" i="1"/>
  <c r="P25" i="1"/>
  <c r="S25" i="1"/>
  <c r="Q25" i="1"/>
  <c r="P27" i="1"/>
  <c r="S27" i="1"/>
  <c r="R27" i="1"/>
  <c r="Q27" i="1"/>
  <c r="Q30" i="1"/>
  <c r="R30" i="1"/>
  <c r="P30" i="1"/>
  <c r="R31" i="1"/>
  <c r="P31" i="1"/>
  <c r="S31" i="1"/>
  <c r="Q31" i="1"/>
  <c r="Q36" i="1"/>
  <c r="R36" i="1"/>
  <c r="P36" i="1"/>
  <c r="R37" i="1"/>
  <c r="P37" i="1"/>
  <c r="S37" i="1"/>
  <c r="Q37" i="1"/>
  <c r="Q40" i="1"/>
  <c r="R40" i="1"/>
  <c r="P40" i="1"/>
  <c r="R41" i="1"/>
  <c r="P41" i="1"/>
  <c r="S41" i="1"/>
  <c r="Q41" i="1"/>
  <c r="P44" i="1"/>
  <c r="R45" i="1"/>
  <c r="P45" i="1"/>
  <c r="S45" i="1"/>
  <c r="Q45" i="1"/>
  <c r="Q48" i="1"/>
  <c r="R48" i="1"/>
  <c r="P48" i="1"/>
  <c r="R49" i="1"/>
  <c r="P49" i="1"/>
  <c r="S49" i="1"/>
  <c r="Q49" i="1"/>
  <c r="P51" i="1"/>
  <c r="S51" i="1"/>
  <c r="Q51" i="1"/>
  <c r="R51" i="1"/>
  <c r="P53" i="1"/>
  <c r="Q53" i="1"/>
  <c r="R53" i="1"/>
  <c r="P55" i="1"/>
  <c r="Q55" i="1"/>
  <c r="R55" i="1"/>
  <c r="P57" i="1"/>
  <c r="Q57" i="1"/>
  <c r="R57" i="1"/>
  <c r="P59" i="1"/>
  <c r="Q59" i="1"/>
  <c r="R59" i="1"/>
  <c r="Z99" i="264"/>
  <c r="AA99" i="264"/>
  <c r="R61" i="1"/>
  <c r="R62" i="1"/>
  <c r="R63" i="1"/>
  <c r="R64" i="1"/>
  <c r="R65" i="1"/>
  <c r="R66" i="1"/>
  <c r="L67" i="1"/>
  <c r="M67" i="1" s="1"/>
  <c r="R67" i="1" s="1"/>
  <c r="L68" i="1"/>
  <c r="M68" i="1" s="1"/>
  <c r="R68" i="1" s="1"/>
  <c r="L69" i="1"/>
  <c r="M69" i="1" s="1"/>
  <c r="R69" i="1" s="1"/>
  <c r="L70" i="1"/>
  <c r="M70" i="1" s="1"/>
  <c r="R70" i="1" s="1"/>
  <c r="L71" i="1"/>
  <c r="M71" i="1" s="1"/>
  <c r="R71" i="1" s="1"/>
  <c r="L72" i="1"/>
  <c r="M72" i="1" s="1"/>
  <c r="R72" i="1" s="1"/>
  <c r="L73" i="1"/>
  <c r="M73" i="1" s="1"/>
  <c r="R73" i="1" s="1"/>
  <c r="L74" i="1"/>
  <c r="M74" i="1" s="1"/>
  <c r="R74" i="1" s="1"/>
  <c r="L75" i="1"/>
  <c r="M75" i="1" s="1"/>
  <c r="R75" i="1" s="1"/>
  <c r="L76" i="1"/>
  <c r="M76" i="1" s="1"/>
  <c r="R76" i="1" s="1"/>
  <c r="L77" i="1"/>
  <c r="M77" i="1" s="1"/>
  <c r="R77" i="1" s="1"/>
  <c r="L78" i="1"/>
  <c r="M78" i="1" s="1"/>
  <c r="R78" i="1" s="1"/>
  <c r="L79" i="1"/>
  <c r="M79" i="1" s="1"/>
  <c r="R79" i="1" s="1"/>
  <c r="L80" i="1"/>
  <c r="M80" i="1" s="1"/>
  <c r="R80" i="1" s="1"/>
  <c r="L81" i="1"/>
  <c r="M81" i="1" s="1"/>
  <c r="R81" i="1" s="1"/>
  <c r="S91" i="1"/>
  <c r="R91" i="1"/>
  <c r="S94" i="1"/>
  <c r="R94" i="1"/>
  <c r="G50" i="9708"/>
  <c r="S97" i="1"/>
  <c r="P97" i="1"/>
  <c r="R97" i="1"/>
  <c r="Q97" i="1"/>
  <c r="R82" i="1"/>
  <c r="R83" i="1"/>
  <c r="R84" i="1"/>
  <c r="R86" i="1"/>
  <c r="L86" i="1"/>
  <c r="M86" i="1" s="1"/>
  <c r="R93" i="1"/>
  <c r="R95" i="1"/>
  <c r="G46" i="9708"/>
  <c r="G47" i="9708"/>
  <c r="I46" i="9708"/>
  <c r="I47" i="9708"/>
  <c r="M46" i="9708"/>
  <c r="M47" i="9708"/>
  <c r="R96" i="1"/>
  <c r="P96" i="1"/>
  <c r="R98" i="1"/>
  <c r="P98" i="1"/>
  <c r="Z102" i="264"/>
  <c r="V102" i="264"/>
  <c r="L46" i="9708"/>
  <c r="L53" i="9708" s="1"/>
  <c r="L54" i="9708" s="1"/>
  <c r="N53" i="9708"/>
  <c r="N54" i="9708" s="1"/>
  <c r="O50" i="9708" s="1"/>
  <c r="AA102" i="264"/>
  <c r="S85" i="1" l="1"/>
  <c r="Q85" i="1"/>
  <c r="P85" i="1"/>
  <c r="Z69" i="264"/>
  <c r="Q44" i="1"/>
  <c r="R10" i="1"/>
  <c r="S11" i="1"/>
  <c r="Y69" i="264"/>
  <c r="E39" i="9708"/>
  <c r="E40" i="9708" s="1"/>
  <c r="R85" i="1"/>
  <c r="Q10" i="1"/>
  <c r="AA76" i="264"/>
  <c r="AA69" i="264"/>
  <c r="H53" i="9708"/>
  <c r="H54" i="9708" s="1"/>
  <c r="D42" i="11537"/>
  <c r="R56" i="1"/>
  <c r="P11" i="1"/>
  <c r="P56" i="1"/>
  <c r="Q9" i="1"/>
  <c r="U85" i="264"/>
  <c r="Y76" i="264"/>
  <c r="U77" i="264"/>
  <c r="M41" i="9708"/>
  <c r="AA86" i="264"/>
  <c r="Z77" i="264"/>
  <c r="D42" i="11536"/>
  <c r="Q56" i="1"/>
  <c r="Q39" i="1"/>
  <c r="R54" i="1"/>
  <c r="Q43" i="1"/>
  <c r="S39" i="1"/>
  <c r="S9" i="1"/>
  <c r="Z85" i="264"/>
  <c r="Y77" i="264"/>
  <c r="R44" i="1"/>
  <c r="R9" i="1"/>
  <c r="P54" i="1"/>
  <c r="Y38" i="9708"/>
  <c r="Y34" i="9708"/>
  <c r="Y28" i="9708"/>
  <c r="Y30" i="9708"/>
  <c r="Y29" i="9708"/>
  <c r="Y33" i="9708"/>
  <c r="Y32" i="9708"/>
  <c r="Y31" i="9708"/>
  <c r="Y37" i="9708"/>
  <c r="J39" i="9708"/>
  <c r="J40" i="9708" s="1"/>
  <c r="G39" i="9708"/>
  <c r="G40" i="9708" s="1"/>
  <c r="I39" i="9708"/>
  <c r="I40" i="9708" s="1"/>
  <c r="O47" i="9708"/>
  <c r="O49" i="9708"/>
  <c r="O52" i="9708"/>
  <c r="O48" i="9708"/>
  <c r="K39" i="9708"/>
  <c r="K40" i="9708" s="1"/>
  <c r="X53" i="9708"/>
  <c r="X54" i="9708" s="1"/>
  <c r="Y47" i="9708" s="1"/>
  <c r="O45" i="9708"/>
  <c r="O37" i="9708"/>
  <c r="O31" i="9708"/>
  <c r="O29" i="9708"/>
  <c r="O30" i="9708"/>
  <c r="O28" i="9708"/>
  <c r="O34" i="9708"/>
  <c r="O38" i="9708"/>
  <c r="O46" i="9708"/>
  <c r="O33" i="9708"/>
  <c r="P64" i="1"/>
  <c r="Q64" i="1"/>
  <c r="S64" i="1"/>
  <c r="P60" i="1"/>
  <c r="Q60" i="1"/>
  <c r="Q66" i="1"/>
  <c r="S66" i="1"/>
  <c r="P66" i="1"/>
  <c r="S62" i="1"/>
  <c r="Q62" i="1"/>
  <c r="P62" i="1"/>
  <c r="D17" i="11533"/>
  <c r="D17" i="11534"/>
  <c r="D43" i="11539"/>
  <c r="D47" i="9708"/>
  <c r="D52" i="9708"/>
  <c r="D49" i="9708"/>
  <c r="D48" i="9708"/>
  <c r="D17" i="11535"/>
  <c r="D17" i="11537"/>
  <c r="D18" i="11539"/>
  <c r="D18" i="11542"/>
  <c r="D50" i="9708"/>
  <c r="D45" i="9708"/>
  <c r="AA56" i="264"/>
  <c r="D43" i="11542"/>
  <c r="D17" i="11536"/>
  <c r="D42" i="11535"/>
  <c r="D42" i="11534"/>
  <c r="D42" i="11533"/>
  <c r="E46" i="9708"/>
  <c r="E53" i="9708" s="1"/>
  <c r="Y65" i="264"/>
  <c r="AA65" i="264"/>
  <c r="AA66" i="264"/>
  <c r="AA60" i="264"/>
  <c r="AA61" i="264"/>
  <c r="AA64" i="264"/>
  <c r="Y64" i="264"/>
  <c r="AA57" i="264"/>
  <c r="AA58" i="264"/>
  <c r="N41" i="9708"/>
  <c r="M53" i="9708"/>
  <c r="M54" i="9708" s="1"/>
  <c r="I53" i="9708"/>
  <c r="I54" i="9708" s="1"/>
  <c r="G53" i="9708"/>
  <c r="G54" i="9708" s="1"/>
  <c r="R92" i="1"/>
  <c r="S92" i="1"/>
  <c r="P92" i="1"/>
  <c r="Q92" i="1"/>
  <c r="S86" i="1"/>
  <c r="P86" i="1"/>
  <c r="Q86" i="1"/>
  <c r="P81" i="1"/>
  <c r="Q81" i="1"/>
  <c r="S81" i="1"/>
  <c r="Q80" i="1"/>
  <c r="P80" i="1"/>
  <c r="S80" i="1"/>
  <c r="P79" i="1"/>
  <c r="Q79" i="1"/>
  <c r="S79" i="1"/>
  <c r="Q78" i="1"/>
  <c r="P78" i="1"/>
  <c r="S78" i="1"/>
  <c r="P77" i="1"/>
  <c r="Q77" i="1"/>
  <c r="S77" i="1"/>
  <c r="Q76" i="1"/>
  <c r="P76" i="1"/>
  <c r="S76" i="1"/>
  <c r="P75" i="1"/>
  <c r="Q75" i="1"/>
  <c r="S75" i="1"/>
  <c r="Q74" i="1"/>
  <c r="P74" i="1"/>
  <c r="S74" i="1"/>
  <c r="P73" i="1"/>
  <c r="Q73" i="1"/>
  <c r="S73" i="1"/>
  <c r="Q72" i="1"/>
  <c r="P72" i="1"/>
  <c r="S72" i="1"/>
  <c r="P71" i="1"/>
  <c r="Q71" i="1"/>
  <c r="S71" i="1"/>
  <c r="Q70" i="1"/>
  <c r="P70" i="1"/>
  <c r="S70" i="1"/>
  <c r="P69" i="1"/>
  <c r="Q69" i="1"/>
  <c r="S69" i="1"/>
  <c r="Q68" i="1"/>
  <c r="P68" i="1"/>
  <c r="S68" i="1"/>
  <c r="P67" i="1"/>
  <c r="Q67" i="1"/>
  <c r="S67" i="1"/>
  <c r="AA48" i="264"/>
  <c r="AA49" i="264"/>
  <c r="AA45" i="264"/>
  <c r="AA44" i="264"/>
  <c r="AA40" i="264"/>
  <c r="AA41" i="264"/>
  <c r="AA51" i="264"/>
  <c r="AA54" i="264"/>
  <c r="R90" i="1"/>
  <c r="S90" i="1"/>
  <c r="P90" i="1"/>
  <c r="Q90" i="1"/>
  <c r="AA46" i="264"/>
  <c r="AA47" i="264"/>
  <c r="AA38" i="264"/>
  <c r="AA39" i="264"/>
  <c r="AA43" i="264"/>
  <c r="D53" i="9708" l="1"/>
  <c r="Y40" i="9708"/>
  <c r="O40" i="9708"/>
  <c r="F52" i="9708"/>
  <c r="E54" i="9708"/>
  <c r="O54" i="9708"/>
  <c r="Y46" i="9708"/>
  <c r="Y48" i="9708"/>
  <c r="Y52" i="9708"/>
  <c r="Y45" i="9708"/>
  <c r="Y49" i="9708"/>
  <c r="Y50" i="9708"/>
  <c r="F46" i="9708"/>
  <c r="J41" i="9708"/>
  <c r="K41" i="9708"/>
  <c r="H41" i="9708"/>
  <c r="G41" i="9708"/>
  <c r="I41" i="9708"/>
  <c r="L41" i="9708"/>
  <c r="Y54" i="9708" l="1"/>
  <c r="F48" i="9708"/>
  <c r="F49" i="9708"/>
  <c r="F50" i="9708"/>
  <c r="F45" i="9708"/>
  <c r="F47" i="9708"/>
  <c r="F53" i="9708" l="1"/>
  <c r="F54" i="9708" s="1"/>
</calcChain>
</file>

<file path=xl/sharedStrings.xml><?xml version="1.0" encoding="utf-8"?>
<sst xmlns="http://schemas.openxmlformats.org/spreadsheetml/2006/main" count="1102" uniqueCount="274">
  <si>
    <t>Revenues of School Districts</t>
  </si>
  <si>
    <t>Year</t>
  </si>
  <si>
    <t>Tuition Fees</t>
  </si>
  <si>
    <t>Total</t>
  </si>
  <si>
    <t>Total Less Bonding</t>
  </si>
  <si>
    <t>% Federal</t>
  </si>
  <si>
    <t>Foundation &amp; Equalization</t>
  </si>
  <si>
    <t>CPI-U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</si>
  <si>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</si>
  <si>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</si>
  <si>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</si>
  <si>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</si>
  <si>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</si>
  <si>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</si>
  <si>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</si>
  <si>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</si>
  <si>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</si>
  <si>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</si>
  <si>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</si>
  <si>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</si>
  <si>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</si>
  <si>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</si>
  <si>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</si>
  <si>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</si>
  <si>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</si>
  <si>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</si>
  <si>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</si>
  <si>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</si>
  <si>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</si>
  <si>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</si>
  <si>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</si>
  <si>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</si>
  <si>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</si>
  <si>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</si>
  <si>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</si>
  <si>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</si>
  <si>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</si>
  <si>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</si>
  <si>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</si>
  <si>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</si>
  <si>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</si>
  <si>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</si>
  <si>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</si>
  <si>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</si>
  <si>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</si>
  <si>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</si>
  <si>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</si>
  <si>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</si>
  <si>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</si>
  <si>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</si>
  <si>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</si>
  <si>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</si>
  <si>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</si>
  <si>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</si>
  <si>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</si>
  <si>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</si>
  <si>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</si>
  <si>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</si>
  <si>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</si>
  <si>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</si>
  <si>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</si>
  <si>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</si>
  <si>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</si>
  <si>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</si>
  <si>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</si>
  <si>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</si>
  <si>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</si>
  <si>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</si>
  <si>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</si>
  <si>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</si>
  <si>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</si>
  <si>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</si>
  <si>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</si>
  <si>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</si>
  <si>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</si>
  <si>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</si>
  <si>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</si>
  <si>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</si>
  <si>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</si>
  <si>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</si>
  <si>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</si>
  <si>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</si>
  <si>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</si>
  <si>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</si>
  <si>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</si>
  <si>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</si>
  <si>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</si>
  <si>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</si>
  <si>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</si>
  <si>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</si>
  <si>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</si>
  <si>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Foundation Aid</t>
  </si>
  <si>
    <t>Other State Aid</t>
  </si>
  <si>
    <t>Expenditures of School Districts</t>
  </si>
  <si>
    <t>Instruction</t>
  </si>
  <si>
    <t>Instructional Support Services</t>
  </si>
  <si>
    <t>Office of Superintendents</t>
  </si>
  <si>
    <t>SAU Transfer</t>
  </si>
  <si>
    <t>Other Administration</t>
  </si>
  <si>
    <t>Business Services</t>
  </si>
  <si>
    <t>Operation &amp; Maintenance of Plant</t>
  </si>
  <si>
    <t>Fixed Charges</t>
  </si>
  <si>
    <t>Auxiliary Services</t>
  </si>
  <si>
    <t>Pupil Transportation</t>
  </si>
  <si>
    <t>Food Service</t>
  </si>
  <si>
    <t>Student Body Activities</t>
  </si>
  <si>
    <t>Adult Basic Ed &amp; Community Services</t>
  </si>
  <si>
    <t>Facilities Acquisition &amp; Construction</t>
  </si>
  <si>
    <t>Debt Service</t>
  </si>
  <si>
    <t>Total (Summed)</t>
  </si>
  <si>
    <t>Total (as Printed)</t>
  </si>
  <si>
    <t>Transportation Fees</t>
  </si>
  <si>
    <t>Other Revenues</t>
  </si>
  <si>
    <t>Federal Funds</t>
  </si>
  <si>
    <t>Sale of Bonds</t>
  </si>
  <si>
    <t>New Hampshire Center for Public Policy Studies</t>
  </si>
  <si>
    <t>Transportation</t>
  </si>
  <si>
    <t>Other</t>
  </si>
  <si>
    <t>Local Property Taxes</t>
  </si>
  <si>
    <t>Federal Aid</t>
  </si>
  <si>
    <t>1998-99</t>
  </si>
  <si>
    <t>1999-2000</t>
  </si>
  <si>
    <t>Revenues of NH School Districts</t>
  </si>
  <si>
    <t>Special Ed as %</t>
  </si>
  <si>
    <t>% Increase over Prior Year</t>
  </si>
  <si>
    <t>2000-01</t>
  </si>
  <si>
    <t xml:space="preserve">Items in italics are not yet final </t>
  </si>
  <si>
    <t>Spending on Elementary and Secondary Schools as % of US Gross Domestic Product</t>
  </si>
  <si>
    <t>State Aid not including state property tax</t>
  </si>
  <si>
    <t>State Aid including state property tax</t>
  </si>
  <si>
    <t>Special Programs (Special Ed.)</t>
  </si>
  <si>
    <t>Student Services
(Attendance,Health, Pupil Services)</t>
  </si>
  <si>
    <t>Special Education +</t>
  </si>
  <si>
    <t>These figures are copied from the Revenue and Spending tabs in this worksheet with some consolidation</t>
  </si>
  <si>
    <t>Function</t>
  </si>
  <si>
    <t>Source</t>
  </si>
  <si>
    <t>Local Taxation</t>
  </si>
  <si>
    <t>Tuition, Food and other Local Revenue</t>
  </si>
  <si>
    <t>Other State Sources</t>
  </si>
  <si>
    <t>Federal Sources</t>
  </si>
  <si>
    <t>Sale of Bonds &amp; Notes</t>
  </si>
  <si>
    <t>From "State Summary Revenue and Expenditures of School Districts</t>
  </si>
  <si>
    <t>Local Property Taxes as % of Personal Income</t>
  </si>
  <si>
    <t>Local Property Taxes as % of GSP</t>
  </si>
  <si>
    <t>Regular Instruction</t>
  </si>
  <si>
    <t>Special Programs</t>
  </si>
  <si>
    <t>Vocational Programs</t>
  </si>
  <si>
    <t>Other Instructional Programs</t>
  </si>
  <si>
    <t>Student Support Services</t>
  </si>
  <si>
    <t>Instructional Staff Support</t>
  </si>
  <si>
    <t>General Administration &amp; Business</t>
  </si>
  <si>
    <t>School Administration</t>
  </si>
  <si>
    <t>Plant Operations</t>
  </si>
  <si>
    <t>Non-Public Programs</t>
  </si>
  <si>
    <t>Community Programs</t>
  </si>
  <si>
    <t>Bond and Note Interest</t>
  </si>
  <si>
    <t>Bond &amp; Note Principal</t>
  </si>
  <si>
    <t>Charter Schools/Other Agencies</t>
  </si>
  <si>
    <t>Facility Construction</t>
  </si>
  <si>
    <t>Deducted Expenditures</t>
  </si>
  <si>
    <t>From "State Summary Revenue and Expenditures of School Districts (this is a different set of data from above; the above data is no longer published by DoE</t>
  </si>
  <si>
    <t>2001-02</t>
  </si>
  <si>
    <t>Other Outgoing Transfers</t>
  </si>
  <si>
    <t>Bond &amp; Note Interest</t>
  </si>
  <si>
    <t>Charter Schools/Others</t>
  </si>
  <si>
    <t>2002-03</t>
  </si>
  <si>
    <t xml:space="preserve">Total </t>
  </si>
  <si>
    <t xml:space="preserve">Instruction </t>
  </si>
  <si>
    <t>Support Services</t>
  </si>
  <si>
    <t>Administration</t>
  </si>
  <si>
    <t>All Other</t>
  </si>
  <si>
    <t>Tuition, Food, and Other</t>
  </si>
  <si>
    <t>Spending</t>
  </si>
  <si>
    <t>Local Property Tax</t>
  </si>
  <si>
    <t>Debt Service (O+P)</t>
  </si>
  <si>
    <t>2003-04</t>
  </si>
  <si>
    <t>2004-05</t>
  </si>
  <si>
    <t>Amount</t>
  </si>
  <si>
    <t>Statewide Property Tax</t>
  </si>
  <si>
    <t>State Adequacy Cash Aid</t>
  </si>
  <si>
    <t>State Foundation/Adequacy Aid</t>
  </si>
  <si>
    <t>Increase over prior year</t>
  </si>
  <si>
    <t>2007-2008</t>
  </si>
  <si>
    <t>2008-2009</t>
  </si>
  <si>
    <t>Gross State Domestic Product</t>
  </si>
  <si>
    <t>% of GSDP</t>
  </si>
  <si>
    <t>2005-06</t>
  </si>
  <si>
    <t>2006-07</t>
  </si>
  <si>
    <t>2007-08</t>
  </si>
  <si>
    <t>State Property Tax Revenue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</si>
  <si>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</si>
  <si>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</si>
  <si>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</si>
  <si>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</si>
  <si>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</si>
  <si>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</si>
  <si>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</si>
  <si>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</si>
  <si>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Equitable Ed Aid</t>
  </si>
  <si>
    <t>Equitable Other</t>
  </si>
  <si>
    <t>SummaryRev&amp;Ex17</t>
  </si>
  <si>
    <t xml:space="preserve">RML   11   (5.60)    </t>
  </si>
  <si>
    <t xml:space="preserve">  counting revenues, these amounts are shown below the total revenue lline.</t>
  </si>
  <si>
    <t>**Bonds &amp; Notes must be repaid with revenues from other sources.  To avoid double</t>
  </si>
  <si>
    <t xml:space="preserve">  Total Expenditure Adjustments:</t>
  </si>
  <si>
    <t xml:space="preserve">  Food service revenues except interest</t>
  </si>
  <si>
    <t xml:space="preserve">  Regular, Special and Voc Tuition from other NH school districts</t>
  </si>
  <si>
    <t xml:space="preserve">  Deducted from Expenditures:</t>
  </si>
  <si>
    <t xml:space="preserve">  Total Revenue Adjustments:</t>
  </si>
  <si>
    <t xml:space="preserve">  Services provided other NH school districts other than food</t>
  </si>
  <si>
    <t xml:space="preserve">  Transportation from other NH school districts</t>
  </si>
  <si>
    <t xml:space="preserve">  Tuition from other NH school districts</t>
  </si>
  <si>
    <t xml:space="preserve">  Deducted from Revenues:</t>
  </si>
  <si>
    <t>* The following adjustments have been made to State Total DOE-25 data.</t>
  </si>
  <si>
    <t>Bond &amp; Note Principal Payment</t>
  </si>
  <si>
    <t>TOTAL EXPENDITURES</t>
  </si>
  <si>
    <t>Total Recurring Expenditures</t>
  </si>
  <si>
    <t>General Administration and Business</t>
  </si>
  <si>
    <t>Vocational Programs*</t>
  </si>
  <si>
    <t>Special Programs*</t>
  </si>
  <si>
    <t>Regular Instruction*</t>
  </si>
  <si>
    <t>DISTRIBUTION OF EXPENDITURES</t>
  </si>
  <si>
    <t>Sale of Bonds &amp; Notes **</t>
  </si>
  <si>
    <t>Total Net Revenues</t>
  </si>
  <si>
    <t xml:space="preserve">Other  (Includes insurance settlements) </t>
  </si>
  <si>
    <t>Equitable Education Aid</t>
  </si>
  <si>
    <t>Tuition, Food, &amp; Other Local Revenue*</t>
  </si>
  <si>
    <t>Percent</t>
  </si>
  <si>
    <t>REVENUE SOURCES</t>
  </si>
  <si>
    <t xml:space="preserve">STATE SUMMARY REVENUE AND EXPENDITURES OF SCHOOL DISTRICTS </t>
  </si>
  <si>
    <t>Telephone (603) 271-3876   Fax (603) 271-1953</t>
  </si>
  <si>
    <t>101 Pleasant Street, Concord, NH  03301-3852</t>
  </si>
  <si>
    <t>Office of School Finance</t>
  </si>
  <si>
    <t>NEW HAMPSHIRE DEPARTMENT OF EDUCATION</t>
  </si>
  <si>
    <t>SummaryRev&amp;Ex16</t>
  </si>
  <si>
    <t>SummaryRev&amp;Ex15</t>
  </si>
  <si>
    <t>Telephone (603) 271-2778   Fax (603) 271-3875</t>
  </si>
  <si>
    <t>Division of Program Support, Bureau of Data Management</t>
  </si>
  <si>
    <t>SummaryRev&amp;Ex14</t>
  </si>
  <si>
    <t xml:space="preserve">JDF:rml   11   (5.60)    </t>
  </si>
  <si>
    <t>SummaryRev&amp;Ex13</t>
  </si>
  <si>
    <t>SummaryRev&amp;Ex12</t>
  </si>
  <si>
    <t>Federal Sources (Includes ARRA Funds)</t>
  </si>
  <si>
    <t>Equitable Education Aid - (EdJobsNH)</t>
  </si>
  <si>
    <t>SummaryRev&amp;Ex11</t>
  </si>
  <si>
    <t>Equitable Education Aid - (ARRA State Fiscal Stabilization Fund)</t>
  </si>
  <si>
    <t>NEW HAMPSHIRE STATE DEPARTMENT OF EDUCATION</t>
  </si>
  <si>
    <t>1999-00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</si>
  <si>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</si>
  <si>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</si>
  <si>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</si>
  <si>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</si>
  <si>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</si>
  <si>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</si>
  <si>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</si>
  <si>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</si>
  <si>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</si>
  <si>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</si>
  <si>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https://nces.ed.gov/programs/digest/d15/tables/dt15_106.10.asp</t>
  </si>
  <si>
    <t>New Bonds less Princicpal Paid</t>
  </si>
  <si>
    <t>2017-2018</t>
  </si>
  <si>
    <t>SummaryRev&amp;Ex18</t>
  </si>
  <si>
    <t>Principal on Debt</t>
  </si>
  <si>
    <t>Interest on Debt</t>
  </si>
  <si>
    <t>2018-19</t>
  </si>
  <si>
    <t>SWEPT State Property Tax as part of State Adequacy Aid</t>
  </si>
  <si>
    <t>2018-2019</t>
  </si>
  <si>
    <t>SummaryRev&amp;Ex19</t>
  </si>
  <si>
    <t>Gross NH Domestic Product</t>
  </si>
  <si>
    <t>https://apps.bea.gov/iTable/index_regional.cfm</t>
  </si>
  <si>
    <t>Personal Income ($ millions)</t>
  </si>
  <si>
    <t>2019-20</t>
  </si>
  <si>
    <t>Total (less principal and construction)</t>
  </si>
  <si>
    <t>Total (without bonds and notes)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</si>
</sst>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mmmm\ d\,\ yyyy"/>
    <numFmt numFmtId="166" formatCode="0.0%"/>
    <numFmt numFmtId="167" formatCode="&quot;$&quot;#,##0"/>
    <numFmt numFmtId="168" formatCode="0.000%"/>
    <numFmt numFmtId="169" formatCode="0.00000%"/>
    <numFmt numFmtId="170" formatCode="0.0000%"/>
    <numFmt numFmtId="171" formatCode="0.00000"/>
    <numFmt numFmtId="172" formatCode="0.000000"/>
    <numFmt numFmtId="173" formatCode="0.0000"/>
    <numFmt numFmtId="174" formatCode="[$-409]mmmm\ d\,\ yyyy;@"/>
    <numFmt numFmtId="175" formatCode="#,##0.0"/>
    <numFmt numFmtId="176" formatCode="&quot;$&quot;#,##0.0"/>
    <numFmt numFmtId="177" formatCode="#,##0.000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2"/>
      <color rgb="FF333333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rgb="FFAAAAAA"/>
      </right>
      <top/>
      <bottom/>
      <diagonal/>
    </border>
  </borders>
  <cellStyleXfs count="16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1" fillId="0" borderId="0" applyFill="0" applyBorder="0" applyAlignment="0" applyProtection="0"/>
    <xf numFmtId="0" fontId="1" fillId="0" borderId="1" applyNumberForma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6" fillId="0" borderId="0"/>
    <xf numFmtId="0" fontId="14" fillId="0" borderId="0"/>
    <xf numFmtId="0" fontId="16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Fill="1"/>
    <xf numFmtId="167" fontId="0" fillId="0" borderId="0" xfId="0" applyNumberFormat="1" applyFill="1"/>
    <xf numFmtId="168" fontId="1" fillId="0" borderId="0" xfId="7" applyNumberFormat="1" applyFill="1"/>
    <xf numFmtId="164" fontId="0" fillId="0" borderId="0" xfId="0" applyNumberFormat="1" applyFill="1"/>
    <xf numFmtId="167" fontId="6" fillId="0" borderId="0" xfId="0" applyNumberFormat="1" applyFont="1" applyFill="1"/>
    <xf numFmtId="166" fontId="1" fillId="0" borderId="0" xfId="7" applyNumberFormat="1" applyFill="1"/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 wrapText="1"/>
    </xf>
    <xf numFmtId="0" fontId="5" fillId="0" borderId="0" xfId="0" applyFont="1" applyFill="1"/>
    <xf numFmtId="7" fontId="3" fillId="0" borderId="0" xfId="0" applyNumberFormat="1" applyFont="1" applyFill="1"/>
    <xf numFmtId="0" fontId="4" fillId="0" borderId="0" xfId="0" applyFont="1" applyFill="1" applyAlignment="1">
      <alignment horizontal="right" wrapText="1"/>
    </xf>
    <xf numFmtId="5" fontId="4" fillId="0" borderId="0" xfId="2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5" fontId="1" fillId="0" borderId="2" xfId="2" applyNumberFormat="1" applyFont="1" applyFill="1" applyBorder="1"/>
    <xf numFmtId="10" fontId="1" fillId="0" borderId="0" xfId="7" applyNumberFormat="1" applyFont="1" applyFill="1"/>
    <xf numFmtId="164" fontId="1" fillId="0" borderId="0" xfId="0" applyNumberFormat="1" applyFont="1" applyFill="1"/>
    <xf numFmtId="5" fontId="1" fillId="0" borderId="0" xfId="2" applyNumberFormat="1" applyFont="1" applyFill="1"/>
    <xf numFmtId="0" fontId="1" fillId="0" borderId="2" xfId="0" applyFont="1" applyFill="1" applyBorder="1"/>
    <xf numFmtId="5" fontId="1" fillId="0" borderId="2" xfId="0" applyNumberFormat="1" applyFont="1" applyFill="1" applyBorder="1"/>
    <xf numFmtId="164" fontId="6" fillId="0" borderId="3" xfId="0" applyNumberFormat="1" applyFont="1" applyFill="1" applyBorder="1"/>
    <xf numFmtId="0" fontId="6" fillId="0" borderId="3" xfId="0" applyFont="1" applyFill="1" applyBorder="1"/>
    <xf numFmtId="167" fontId="6" fillId="0" borderId="3" xfId="2" applyNumberFormat="1" applyFont="1" applyBorder="1"/>
    <xf numFmtId="167" fontId="8" fillId="0" borderId="0" xfId="0" applyNumberFormat="1" applyFont="1" applyFill="1"/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0" fontId="1" fillId="0" borderId="0" xfId="7" applyFill="1"/>
    <xf numFmtId="0" fontId="6" fillId="0" borderId="4" xfId="0" applyFont="1" applyFill="1" applyBorder="1"/>
    <xf numFmtId="5" fontId="0" fillId="0" borderId="0" xfId="0" applyNumberFormat="1"/>
    <xf numFmtId="0" fontId="0" fillId="0" borderId="0" xfId="0" applyNumberFormat="1" applyFill="1" applyAlignment="1">
      <alignment wrapText="1"/>
    </xf>
    <xf numFmtId="167" fontId="0" fillId="0" borderId="0" xfId="0" applyNumberFormat="1"/>
    <xf numFmtId="0" fontId="0" fillId="0" borderId="5" xfId="0" applyBorder="1"/>
    <xf numFmtId="167" fontId="0" fillId="0" borderId="5" xfId="0" applyNumberFormat="1" applyFill="1" applyBorder="1"/>
    <xf numFmtId="167" fontId="6" fillId="0" borderId="3" xfId="2" applyNumberFormat="1" applyFont="1" applyFill="1" applyBorder="1"/>
    <xf numFmtId="0" fontId="7" fillId="0" borderId="2" xfId="0" applyFont="1" applyBorder="1" applyAlignment="1">
      <alignment horizontal="center"/>
    </xf>
    <xf numFmtId="5" fontId="7" fillId="0" borderId="2" xfId="2" applyNumberFormat="1" applyFont="1" applyFill="1" applyBorder="1" applyAlignment="1">
      <alignment horizontal="center"/>
    </xf>
    <xf numFmtId="0" fontId="7" fillId="0" borderId="6" xfId="0" applyFont="1" applyBorder="1" applyAlignment="1"/>
    <xf numFmtId="164" fontId="1" fillId="0" borderId="0" xfId="0" applyNumberFormat="1" applyFont="1"/>
    <xf numFmtId="164" fontId="1" fillId="0" borderId="0" xfId="0" applyNumberFormat="1" applyFont="1" applyFill="1"/>
    <xf numFmtId="5" fontId="0" fillId="0" borderId="5" xfId="0" applyNumberFormat="1" applyBorder="1"/>
    <xf numFmtId="5" fontId="7" fillId="0" borderId="0" xfId="2" applyNumberFormat="1" applyFont="1" applyFill="1"/>
    <xf numFmtId="167" fontId="0" fillId="2" borderId="2" xfId="0" applyNumberFormat="1" applyFill="1" applyBorder="1"/>
    <xf numFmtId="0" fontId="0" fillId="2" borderId="7" xfId="0" applyFill="1" applyBorder="1"/>
    <xf numFmtId="0" fontId="7" fillId="2" borderId="2" xfId="0" applyFont="1" applyFill="1" applyBorder="1"/>
    <xf numFmtId="0" fontId="0" fillId="2" borderId="2" xfId="0" applyFill="1" applyBorder="1"/>
    <xf numFmtId="5" fontId="7" fillId="0" borderId="8" xfId="2" applyNumberFormat="1" applyFont="1" applyFill="1" applyBorder="1" applyAlignment="1">
      <alignment horizontal="center"/>
    </xf>
    <xf numFmtId="167" fontId="0" fillId="2" borderId="8" xfId="0" applyNumberFormat="1" applyFill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5" fontId="7" fillId="0" borderId="0" xfId="2" applyNumberFormat="1" applyFont="1" applyFill="1" applyBorder="1" applyAlignment="1">
      <alignment horizontal="center"/>
    </xf>
    <xf numFmtId="5" fontId="0" fillId="0" borderId="0" xfId="0" applyNumberFormat="1" applyBorder="1"/>
    <xf numFmtId="167" fontId="7" fillId="2" borderId="9" xfId="0" applyNumberFormat="1" applyFont="1" applyFill="1" applyBorder="1" applyAlignment="1">
      <alignment horizontal="left" wrapText="1"/>
    </xf>
    <xf numFmtId="0" fontId="0" fillId="2" borderId="10" xfId="0" applyFill="1" applyBorder="1"/>
    <xf numFmtId="5" fontId="7" fillId="3" borderId="11" xfId="2" applyNumberFormat="1" applyFont="1" applyFill="1" applyBorder="1" applyAlignment="1">
      <alignment horizontal="center"/>
    </xf>
    <xf numFmtId="167" fontId="0" fillId="2" borderId="12" xfId="0" applyNumberFormat="1" applyFill="1" applyBorder="1"/>
    <xf numFmtId="0" fontId="0" fillId="0" borderId="2" xfId="0" applyBorder="1"/>
    <xf numFmtId="167" fontId="0" fillId="0" borderId="2" xfId="0" applyNumberFormat="1" applyBorder="1"/>
    <xf numFmtId="10" fontId="1" fillId="0" borderId="0" xfId="7"/>
    <xf numFmtId="0" fontId="0" fillId="0" borderId="13" xfId="0" applyFill="1" applyBorder="1"/>
    <xf numFmtId="0" fontId="7" fillId="0" borderId="2" xfId="0" applyFont="1" applyBorder="1"/>
    <xf numFmtId="167" fontId="0" fillId="0" borderId="0" xfId="0" applyNumberFormat="1" applyFill="1" applyBorder="1"/>
    <xf numFmtId="0" fontId="0" fillId="0" borderId="5" xfId="0" applyFill="1" applyBorder="1"/>
    <xf numFmtId="0" fontId="7" fillId="2" borderId="7" xfId="0" applyFont="1" applyFill="1" applyBorder="1" applyAlignment="1">
      <alignment horizontal="center"/>
    </xf>
    <xf numFmtId="5" fontId="0" fillId="0" borderId="2" xfId="0" applyNumberFormat="1" applyBorder="1"/>
    <xf numFmtId="167" fontId="1" fillId="0" borderId="2" xfId="0" applyNumberFormat="1" applyFont="1" applyBorder="1"/>
    <xf numFmtId="168" fontId="1" fillId="0" borderId="0" xfId="7" applyNumberFormat="1" applyFont="1" applyFill="1" applyAlignment="1">
      <alignment wrapText="1"/>
    </xf>
    <xf numFmtId="6" fontId="6" fillId="0" borderId="0" xfId="0" applyNumberFormat="1" applyFont="1"/>
    <xf numFmtId="0" fontId="12" fillId="0" borderId="0" xfId="11"/>
    <xf numFmtId="0" fontId="6" fillId="0" borderId="0" xfId="11" applyFont="1"/>
    <xf numFmtId="38" fontId="6" fillId="0" borderId="0" xfId="11" applyNumberFormat="1" applyFont="1"/>
    <xf numFmtId="42" fontId="6" fillId="0" borderId="14" xfId="11" applyNumberFormat="1" applyFont="1" applyBorder="1"/>
    <xf numFmtId="0" fontId="7" fillId="0" borderId="0" xfId="11" applyFont="1"/>
    <xf numFmtId="42" fontId="6" fillId="0" borderId="0" xfId="11" applyNumberFormat="1" applyFont="1"/>
    <xf numFmtId="0" fontId="6" fillId="0" borderId="14" xfId="11" applyFont="1" applyBorder="1"/>
    <xf numFmtId="0" fontId="7" fillId="0" borderId="14" xfId="11" applyFont="1" applyBorder="1"/>
    <xf numFmtId="41" fontId="6" fillId="0" borderId="0" xfId="12" applyNumberFormat="1" applyFont="1" applyBorder="1"/>
    <xf numFmtId="166" fontId="6" fillId="0" borderId="0" xfId="11" applyNumberFormat="1" applyFont="1"/>
    <xf numFmtId="1" fontId="6" fillId="0" borderId="0" xfId="11" applyNumberFormat="1" applyFont="1"/>
    <xf numFmtId="0" fontId="12" fillId="0" borderId="0" xfId="11" applyFont="1"/>
    <xf numFmtId="170" fontId="12" fillId="0" borderId="0" xfId="11" applyNumberFormat="1"/>
    <xf numFmtId="166" fontId="12" fillId="0" borderId="0" xfId="11" applyNumberFormat="1"/>
    <xf numFmtId="166" fontId="6" fillId="0" borderId="14" xfId="11" applyNumberFormat="1" applyFont="1" applyBorder="1"/>
    <xf numFmtId="38" fontId="6" fillId="0" borderId="0" xfId="11" applyNumberFormat="1" applyFont="1" applyBorder="1"/>
    <xf numFmtId="171" fontId="12" fillId="0" borderId="0" xfId="11" applyNumberFormat="1" applyFont="1"/>
    <xf numFmtId="172" fontId="6" fillId="0" borderId="0" xfId="11" applyNumberFormat="1" applyFont="1"/>
    <xf numFmtId="171" fontId="12" fillId="0" borderId="0" xfId="11" applyNumberFormat="1"/>
    <xf numFmtId="6" fontId="6" fillId="0" borderId="0" xfId="11" applyNumberFormat="1" applyFont="1"/>
    <xf numFmtId="0" fontId="6" fillId="0" borderId="0" xfId="11" applyFont="1" applyBorder="1"/>
    <xf numFmtId="170" fontId="6" fillId="0" borderId="0" xfId="11" applyNumberFormat="1" applyFont="1"/>
    <xf numFmtId="168" fontId="12" fillId="0" borderId="0" xfId="11" applyNumberFormat="1"/>
    <xf numFmtId="6" fontId="6" fillId="0" borderId="0" xfId="11" applyNumberFormat="1" applyFont="1" applyBorder="1"/>
    <xf numFmtId="173" fontId="6" fillId="0" borderId="0" xfId="11" applyNumberFormat="1" applyFont="1"/>
    <xf numFmtId="0" fontId="6" fillId="0" borderId="0" xfId="11" applyFont="1" applyAlignment="1">
      <alignment horizontal="center"/>
    </xf>
    <xf numFmtId="0" fontId="7" fillId="0" borderId="0" xfId="11" applyFont="1" applyFill="1" applyBorder="1" applyAlignment="1">
      <alignment horizontal="center"/>
    </xf>
    <xf numFmtId="166" fontId="6" fillId="0" borderId="0" xfId="11" applyNumberFormat="1" applyFont="1" applyBorder="1"/>
    <xf numFmtId="0" fontId="7" fillId="0" borderId="0" xfId="11" applyFont="1" applyFill="1" applyBorder="1" applyAlignment="1">
      <alignment horizontal="centerContinuous"/>
    </xf>
    <xf numFmtId="0" fontId="7" fillId="0" borderId="0" xfId="11" applyFont="1" applyAlignment="1">
      <alignment horizontal="centerContinuous"/>
    </xf>
    <xf numFmtId="169" fontId="6" fillId="0" borderId="0" xfId="11" applyNumberFormat="1" applyFont="1"/>
    <xf numFmtId="0" fontId="12" fillId="0" borderId="0" xfId="11" applyAlignment="1">
      <alignment horizontal="right"/>
    </xf>
    <xf numFmtId="0" fontId="6" fillId="0" borderId="0" xfId="11" applyFont="1" applyAlignment="1">
      <alignment horizontal="right"/>
    </xf>
    <xf numFmtId="0" fontId="10" fillId="0" borderId="0" xfId="11" applyFont="1" applyAlignment="1">
      <alignment horizontal="right"/>
    </xf>
    <xf numFmtId="0" fontId="10" fillId="0" borderId="0" xfId="11" applyFont="1"/>
    <xf numFmtId="38" fontId="10" fillId="0" borderId="0" xfId="11" applyNumberFormat="1" applyFont="1" applyAlignment="1">
      <alignment horizontal="right"/>
    </xf>
    <xf numFmtId="42" fontId="10" fillId="0" borderId="14" xfId="11" applyNumberFormat="1" applyFont="1" applyBorder="1" applyAlignment="1">
      <alignment horizontal="right"/>
    </xf>
    <xf numFmtId="0" fontId="13" fillId="0" borderId="0" xfId="11" applyFont="1"/>
    <xf numFmtId="42" fontId="12" fillId="0" borderId="0" xfId="11" applyNumberFormat="1"/>
    <xf numFmtId="42" fontId="10" fillId="0" borderId="0" xfId="11" applyNumberFormat="1" applyFont="1" applyAlignment="1">
      <alignment horizontal="right"/>
    </xf>
    <xf numFmtId="38" fontId="12" fillId="0" borderId="0" xfId="11" applyNumberFormat="1"/>
    <xf numFmtId="0" fontId="10" fillId="0" borderId="14" xfId="11" applyFont="1" applyBorder="1" applyAlignment="1">
      <alignment horizontal="right"/>
    </xf>
    <xf numFmtId="0" fontId="10" fillId="0" borderId="14" xfId="11" applyFont="1" applyBorder="1"/>
    <xf numFmtId="0" fontId="13" fillId="0" borderId="14" xfId="11" applyFont="1" applyBorder="1"/>
    <xf numFmtId="41" fontId="10" fillId="0" borderId="0" xfId="12" applyNumberFormat="1" applyFont="1" applyBorder="1" applyAlignment="1">
      <alignment horizontal="right"/>
    </xf>
    <xf numFmtId="6" fontId="10" fillId="0" borderId="0" xfId="11" applyNumberFormat="1" applyFont="1" applyAlignment="1">
      <alignment horizontal="right"/>
    </xf>
    <xf numFmtId="166" fontId="10" fillId="0" borderId="0" xfId="11" applyNumberFormat="1" applyFont="1" applyAlignment="1">
      <alignment horizontal="right"/>
    </xf>
    <xf numFmtId="38" fontId="10" fillId="0" borderId="0" xfId="11" applyNumberFormat="1" applyFont="1"/>
    <xf numFmtId="166" fontId="10" fillId="0" borderId="14" xfId="11" applyNumberFormat="1" applyFont="1" applyBorder="1" applyAlignment="1">
      <alignment horizontal="right"/>
    </xf>
    <xf numFmtId="38" fontId="10" fillId="0" borderId="0" xfId="11" applyNumberFormat="1" applyFont="1" applyBorder="1"/>
    <xf numFmtId="0" fontId="10" fillId="0" borderId="0" xfId="11" applyFont="1" applyBorder="1" applyAlignment="1">
      <alignment horizontal="right"/>
    </xf>
    <xf numFmtId="0" fontId="10" fillId="0" borderId="0" xfId="11" applyFont="1" applyBorder="1"/>
    <xf numFmtId="166" fontId="10" fillId="0" borderId="0" xfId="11" applyNumberFormat="1" applyFont="1" applyBorder="1" applyAlignment="1">
      <alignment horizontal="right"/>
    </xf>
    <xf numFmtId="6" fontId="10" fillId="0" borderId="0" xfId="11" applyNumberFormat="1" applyFont="1" applyBorder="1"/>
    <xf numFmtId="6" fontId="10" fillId="0" borderId="0" xfId="11" applyNumberFormat="1" applyFont="1"/>
    <xf numFmtId="0" fontId="13" fillId="0" borderId="0" xfId="11" applyFont="1" applyFill="1" applyBorder="1" applyAlignment="1">
      <alignment horizontal="right"/>
    </xf>
    <xf numFmtId="0" fontId="13" fillId="0" borderId="0" xfId="11" applyFont="1" applyFill="1" applyBorder="1" applyAlignment="1">
      <alignment horizontal="center"/>
    </xf>
    <xf numFmtId="0" fontId="10" fillId="4" borderId="14" xfId="11" applyFont="1" applyFill="1" applyBorder="1"/>
    <xf numFmtId="0" fontId="10" fillId="4" borderId="14" xfId="11" applyFont="1" applyFill="1" applyBorder="1" applyAlignment="1">
      <alignment horizontal="right"/>
    </xf>
    <xf numFmtId="0" fontId="13" fillId="4" borderId="14" xfId="11" applyFont="1" applyFill="1" applyBorder="1"/>
    <xf numFmtId="166" fontId="10" fillId="0" borderId="0" xfId="11" applyNumberFormat="1" applyFont="1"/>
    <xf numFmtId="166" fontId="10" fillId="0" borderId="14" xfId="11" applyNumberFormat="1" applyFont="1" applyBorder="1"/>
    <xf numFmtId="0" fontId="10" fillId="4" borderId="0" xfId="11" applyFont="1" applyFill="1"/>
    <xf numFmtId="0" fontId="10" fillId="4" borderId="0" xfId="11" applyFont="1" applyFill="1" applyAlignment="1">
      <alignment horizontal="right"/>
    </xf>
    <xf numFmtId="0" fontId="13" fillId="4" borderId="0" xfId="11" applyFont="1" applyFill="1"/>
    <xf numFmtId="166" fontId="10" fillId="0" borderId="0" xfId="11" applyNumberFormat="1" applyFont="1" applyBorder="1"/>
    <xf numFmtId="0" fontId="10" fillId="4" borderId="0" xfId="11" applyFont="1" applyFill="1" applyAlignment="1">
      <alignment horizontal="center"/>
    </xf>
    <xf numFmtId="0" fontId="6" fillId="0" borderId="0" xfId="0" applyFont="1" applyFill="1"/>
    <xf numFmtId="164" fontId="0" fillId="0" borderId="0" xfId="0" applyNumberFormat="1" applyFont="1" applyFill="1"/>
    <xf numFmtId="10" fontId="0" fillId="0" borderId="0" xfId="0" applyNumberFormat="1" applyFill="1"/>
    <xf numFmtId="167" fontId="0" fillId="0" borderId="8" xfId="0" applyNumberFormat="1" applyBorder="1"/>
    <xf numFmtId="5" fontId="0" fillId="0" borderId="8" xfId="0" applyNumberFormat="1" applyBorder="1"/>
    <xf numFmtId="167" fontId="1" fillId="0" borderId="8" xfId="0" applyNumberFormat="1" applyFont="1" applyBorder="1"/>
    <xf numFmtId="0" fontId="7" fillId="5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5" fontId="7" fillId="3" borderId="2" xfId="2" applyNumberFormat="1" applyFont="1" applyFill="1" applyBorder="1" applyAlignment="1">
      <alignment horizontal="center"/>
    </xf>
    <xf numFmtId="9" fontId="1" fillId="0" borderId="2" xfId="7" applyNumberFormat="1" applyFill="1" applyBorder="1"/>
    <xf numFmtId="0" fontId="7" fillId="2" borderId="7" xfId="0" applyFont="1" applyFill="1" applyBorder="1" applyAlignment="1">
      <alignment horizontal="right"/>
    </xf>
    <xf numFmtId="0" fontId="11" fillId="0" borderId="0" xfId="9"/>
    <xf numFmtId="0" fontId="4" fillId="0" borderId="0" xfId="9" applyFont="1" applyFill="1" applyBorder="1" applyAlignment="1">
      <alignment horizontal="center"/>
    </xf>
    <xf numFmtId="0" fontId="4" fillId="0" borderId="0" xfId="9" applyFont="1"/>
    <xf numFmtId="0" fontId="1" fillId="0" borderId="0" xfId="9" applyFont="1"/>
    <xf numFmtId="0" fontId="1" fillId="0" borderId="0" xfId="9" applyFont="1" applyAlignment="1">
      <alignment horizontal="center"/>
    </xf>
    <xf numFmtId="42" fontId="1" fillId="0" borderId="0" xfId="9" applyNumberFormat="1" applyFont="1"/>
    <xf numFmtId="6" fontId="1" fillId="0" borderId="0" xfId="9" applyNumberFormat="1" applyFont="1"/>
    <xf numFmtId="166" fontId="1" fillId="0" borderId="0" xfId="9" applyNumberFormat="1" applyFont="1"/>
    <xf numFmtId="170" fontId="11" fillId="0" borderId="0" xfId="9" applyNumberFormat="1"/>
    <xf numFmtId="173" fontId="1" fillId="0" borderId="0" xfId="9" applyNumberFormat="1" applyFont="1"/>
    <xf numFmtId="38" fontId="1" fillId="0" borderId="0" xfId="9" applyNumberFormat="1" applyFont="1"/>
    <xf numFmtId="171" fontId="11" fillId="0" borderId="0" xfId="9" applyNumberFormat="1" applyFont="1"/>
    <xf numFmtId="42" fontId="1" fillId="0" borderId="14" xfId="9" applyNumberFormat="1" applyFont="1" applyBorder="1"/>
    <xf numFmtId="6" fontId="1" fillId="0" borderId="0" xfId="9" applyNumberFormat="1" applyFont="1" applyBorder="1"/>
    <xf numFmtId="168" fontId="11" fillId="0" borderId="0" xfId="9" applyNumberFormat="1"/>
    <xf numFmtId="170" fontId="1" fillId="0" borderId="0" xfId="9" applyNumberFormat="1" applyFont="1"/>
    <xf numFmtId="41" fontId="1" fillId="0" borderId="0" xfId="10" applyNumberFormat="1" applyFont="1" applyBorder="1"/>
    <xf numFmtId="0" fontId="1" fillId="0" borderId="0" xfId="9" applyFont="1" applyBorder="1"/>
    <xf numFmtId="172" fontId="1" fillId="0" borderId="0" xfId="9" applyNumberFormat="1" applyFont="1"/>
    <xf numFmtId="171" fontId="11" fillId="0" borderId="0" xfId="9" applyNumberFormat="1"/>
    <xf numFmtId="1" fontId="1" fillId="0" borderId="0" xfId="9" applyNumberFormat="1" applyFont="1"/>
    <xf numFmtId="38" fontId="1" fillId="0" borderId="0" xfId="9" applyNumberFormat="1" applyFont="1" applyBorder="1"/>
    <xf numFmtId="166" fontId="1" fillId="0" borderId="14" xfId="9" applyNumberFormat="1" applyFont="1" applyBorder="1"/>
    <xf numFmtId="166" fontId="11" fillId="0" borderId="0" xfId="9" applyNumberFormat="1"/>
    <xf numFmtId="0" fontId="11" fillId="0" borderId="0" xfId="9" applyFont="1"/>
    <xf numFmtId="0" fontId="4" fillId="0" borderId="14" xfId="9" applyFont="1" applyBorder="1"/>
    <xf numFmtId="0" fontId="1" fillId="0" borderId="14" xfId="9" applyFont="1" applyBorder="1"/>
    <xf numFmtId="9" fontId="0" fillId="0" borderId="2" xfId="0" applyNumberFormat="1" applyBorder="1"/>
    <xf numFmtId="5" fontId="7" fillId="0" borderId="2" xfId="2" applyNumberFormat="1" applyFont="1" applyFill="1" applyBorder="1" applyAlignment="1">
      <alignment horizontal="center"/>
    </xf>
    <xf numFmtId="0" fontId="1" fillId="0" borderId="0" xfId="0" applyFont="1" applyFill="1"/>
    <xf numFmtId="6" fontId="0" fillId="0" borderId="0" xfId="0" applyNumberFormat="1"/>
    <xf numFmtId="10" fontId="0" fillId="0" borderId="0" xfId="0" applyNumberFormat="1"/>
    <xf numFmtId="3" fontId="0" fillId="0" borderId="0" xfId="0" applyNumberFormat="1"/>
    <xf numFmtId="5" fontId="1" fillId="0" borderId="0" xfId="2" applyNumberFormat="1" applyFont="1" applyFill="1" applyAlignment="1">
      <alignment horizontal="right" wrapText="1"/>
    </xf>
    <xf numFmtId="4" fontId="15" fillId="6" borderId="15" xfId="0" applyNumberFormat="1" applyFont="1" applyFill="1" applyBorder="1" applyAlignment="1">
      <alignment horizontal="right" vertical="center"/>
    </xf>
    <xf numFmtId="0" fontId="15" fillId="6" borderId="15" xfId="0" applyFont="1" applyFill="1" applyBorder="1" applyAlignment="1">
      <alignment horizontal="right" vertical="center"/>
    </xf>
    <xf numFmtId="0" fontId="1" fillId="0" borderId="0" xfId="0" applyFont="1"/>
    <xf numFmtId="175" fontId="0" fillId="0" borderId="0" xfId="0" applyNumberFormat="1" applyFill="1"/>
    <xf numFmtId="175" fontId="0" fillId="0" borderId="0" xfId="0" applyNumberFormat="1" applyFill="1" applyAlignment="1">
      <alignment wrapText="1"/>
    </xf>
    <xf numFmtId="175" fontId="15" fillId="6" borderId="15" xfId="0" applyNumberFormat="1" applyFont="1" applyFill="1" applyBorder="1" applyAlignment="1">
      <alignment horizontal="right" vertical="center"/>
    </xf>
    <xf numFmtId="0" fontId="16" fillId="0" borderId="0" xfId="15"/>
    <xf numFmtId="176" fontId="16" fillId="0" borderId="0" xfId="15" applyNumberFormat="1"/>
    <xf numFmtId="176" fontId="4" fillId="0" borderId="0" xfId="0" applyNumberFormat="1" applyFont="1" applyFill="1" applyAlignment="1">
      <alignment wrapText="1"/>
    </xf>
    <xf numFmtId="176" fontId="0" fillId="0" borderId="0" xfId="0" applyNumberFormat="1" applyFill="1"/>
    <xf numFmtId="176" fontId="6" fillId="0" borderId="3" xfId="2" applyNumberFormat="1" applyFont="1" applyFill="1" applyBorder="1"/>
    <xf numFmtId="176" fontId="8" fillId="0" borderId="3" xfId="2" applyNumberFormat="1" applyFont="1" applyFill="1" applyBorder="1"/>
    <xf numFmtId="0" fontId="0" fillId="0" borderId="0" xfId="0" applyNumberFormat="1" applyFill="1"/>
    <xf numFmtId="166" fontId="0" fillId="0" borderId="0" xfId="0" applyNumberFormat="1" applyFill="1"/>
    <xf numFmtId="166" fontId="1" fillId="0" borderId="2" xfId="7" applyNumberFormat="1" applyBorder="1"/>
    <xf numFmtId="166" fontId="0" fillId="2" borderId="2" xfId="0" applyNumberFormat="1" applyFill="1" applyBorder="1"/>
    <xf numFmtId="166" fontId="1" fillId="0" borderId="0" xfId="7" applyNumberFormat="1" applyFont="1" applyFill="1"/>
    <xf numFmtId="166" fontId="1" fillId="0" borderId="0" xfId="7" applyNumberFormat="1" applyFill="1" applyAlignment="1">
      <alignment wrapText="1"/>
    </xf>
    <xf numFmtId="0" fontId="1" fillId="3" borderId="12" xfId="0" applyFont="1" applyFill="1" applyBorder="1"/>
    <xf numFmtId="9" fontId="1" fillId="7" borderId="2" xfId="7" applyNumberFormat="1" applyFill="1" applyBorder="1"/>
    <xf numFmtId="166" fontId="1" fillId="7" borderId="2" xfId="7" applyNumberFormat="1" applyFill="1" applyBorder="1"/>
    <xf numFmtId="166" fontId="7" fillId="0" borderId="0" xfId="0" applyNumberFormat="1" applyFont="1" applyFill="1" applyAlignment="1">
      <alignment wrapText="1"/>
    </xf>
    <xf numFmtId="177" fontId="0" fillId="0" borderId="0" xfId="0" applyNumberFormat="1" applyFill="1"/>
    <xf numFmtId="5" fontId="4" fillId="0" borderId="2" xfId="2" applyNumberFormat="1" applyFont="1" applyFill="1" applyBorder="1" applyAlignment="1">
      <alignment horizontal="center"/>
    </xf>
    <xf numFmtId="5" fontId="7" fillId="0" borderId="2" xfId="2" applyNumberFormat="1" applyFont="1" applyFill="1" applyBorder="1" applyAlignment="1">
      <alignment horizontal="center"/>
    </xf>
    <xf numFmtId="5" fontId="0" fillId="7" borderId="2" xfId="0" applyNumberFormat="1" applyFill="1" applyBorder="1"/>
    <xf numFmtId="167" fontId="1" fillId="7" borderId="2" xfId="0" applyNumberFormat="1" applyFont="1" applyFill="1" applyBorder="1"/>
    <xf numFmtId="167" fontId="1" fillId="7" borderId="8" xfId="0" applyNumberFormat="1" applyFont="1" applyFill="1" applyBorder="1"/>
    <xf numFmtId="5" fontId="4" fillId="0" borderId="2" xfId="2" applyNumberFormat="1" applyFont="1" applyFill="1" applyBorder="1" applyAlignment="1">
      <alignment horizontal="center"/>
    </xf>
    <xf numFmtId="5" fontId="7" fillId="0" borderId="2" xfId="2" applyNumberFormat="1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0" fontId="7" fillId="0" borderId="0" xfId="11" applyFont="1" applyFill="1" applyBorder="1" applyAlignment="1">
      <alignment horizontal="center"/>
    </xf>
    <xf numFmtId="0" fontId="7" fillId="0" borderId="0" xfId="11" applyFont="1" applyAlignment="1">
      <alignment horizontal="center"/>
    </xf>
    <xf numFmtId="0" fontId="6" fillId="0" borderId="0" xfId="11" applyFont="1" applyAlignment="1">
      <alignment horizontal="center"/>
    </xf>
    <xf numFmtId="174" fontId="12" fillId="0" borderId="0" xfId="11" applyNumberFormat="1" applyAlignment="1">
      <alignment horizontal="right"/>
    </xf>
    <xf numFmtId="0" fontId="13" fillId="0" borderId="0" xfId="11" applyFont="1" applyFill="1" applyBorder="1" applyAlignment="1">
      <alignment horizontal="center"/>
    </xf>
    <xf numFmtId="0" fontId="13" fillId="0" borderId="0" xfId="11" applyFont="1" applyAlignment="1">
      <alignment horizontal="center"/>
    </xf>
    <xf numFmtId="174" fontId="10" fillId="0" borderId="0" xfId="11" applyNumberFormat="1" applyFont="1" applyAlignment="1">
      <alignment horizontal="right"/>
    </xf>
  </cellXfs>
  <cellStyles count="16">
    <cellStyle name="Comma 2" xfId="10" xr:uid="{00000000-0005-0000-0000-000000000000}"/>
    <cellStyle name="Comma 3" xfId="12" xr:uid="{00000000-0005-0000-0000-000001000000}"/>
    <cellStyle name="Comma0" xfId="1" xr:uid="{00000000-0005-0000-0000-000002000000}"/>
    <cellStyle name="Currency0" xfId="2" xr:uid="{00000000-0005-0000-0000-000003000000}"/>
    <cellStyle name="Date" xfId="3" xr:uid="{00000000-0005-0000-0000-000004000000}"/>
    <cellStyle name="Fixed" xfId="4" xr:uid="{00000000-0005-0000-0000-000005000000}"/>
    <cellStyle name="Heading 1" xfId="5" builtinId="16" customBuiltin="1"/>
    <cellStyle name="Heading 2" xfId="6" builtinId="17" customBuiltin="1"/>
    <cellStyle name="Hyperlink" xfId="15" builtinId="8"/>
    <cellStyle name="Normal" xfId="0" builtinId="0"/>
    <cellStyle name="Normal 2" xfId="9" xr:uid="{00000000-0005-0000-0000-00000A000000}"/>
    <cellStyle name="Normal 3" xfId="11" xr:uid="{00000000-0005-0000-0000-00000B000000}"/>
    <cellStyle name="Normal 4" xfId="13" xr:uid="{00000000-0005-0000-0000-00000C000000}"/>
    <cellStyle name="Normal 5" xfId="14" xr:uid="{00000000-0005-0000-0000-00000D000000}"/>
    <cellStyle name="Percent" xfId="7" builtinId="5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8080"/>
      <color rgb="FF60008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worksheet" Target="worksheets/sheet6.xml"/><Relationship Id="rId26" Type="http://schemas.openxmlformats.org/officeDocument/2006/relationships/worksheet" Target="worksheets/sheet14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9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worksheet" Target="worksheets/sheet5.xml"/><Relationship Id="rId25" Type="http://schemas.openxmlformats.org/officeDocument/2006/relationships/worksheet" Target="worksheets/sheet1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worksheet" Target="worksheets/sheet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7.xml"/><Relationship Id="rId24" Type="http://schemas.openxmlformats.org/officeDocument/2006/relationships/worksheet" Target="worksheets/sheet12.xml"/><Relationship Id="rId32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11.xml"/><Relationship Id="rId23" Type="http://schemas.openxmlformats.org/officeDocument/2006/relationships/worksheet" Target="worksheets/sheet11.xml"/><Relationship Id="rId28" Type="http://schemas.openxmlformats.org/officeDocument/2006/relationships/worksheet" Target="worksheets/sheet1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7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400"/>
              <a:t>% of NH School District Revenue
Provided by State Aid 1919-2008</a:t>
            </a:r>
          </a:p>
        </c:rich>
      </c:tx>
      <c:layout>
        <c:manualLayout>
          <c:xMode val="edge"/>
          <c:yMode val="edge"/>
          <c:x val="0.22489441960346204"/>
          <c:y val="2.0202050829411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1747599692173E-2"/>
          <c:y val="0.14334368850024629"/>
          <c:w val="0.85214802577648852"/>
          <c:h val="0.64357864357864358"/>
        </c:manualLayout>
      </c:layout>
      <c:lineChart>
        <c:grouping val="standard"/>
        <c:varyColors val="0"/>
        <c:ser>
          <c:idx val="0"/>
          <c:order val="0"/>
          <c:tx>
            <c:v>Including Statewide property tax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(Revenue!$A$7:$A$86,Revenue!$A$90:$A$109)</c:f>
              <c:strCache>
                <c:ptCount val="100"/>
                <c:pt idx="0">
                  <c:v>1919-20</c:v>
                </c:pt>
                <c:pt idx="1">
                  <c:v>1920-21</c:v>
                </c:pt>
                <c:pt idx="2">
                  <c:v>1921-22</c:v>
                </c:pt>
                <c:pt idx="3">
                  <c:v>1922-23</c:v>
                </c:pt>
                <c:pt idx="4">
                  <c:v>1923-24</c:v>
                </c:pt>
                <c:pt idx="5">
                  <c:v>1924-25</c:v>
                </c:pt>
                <c:pt idx="6">
                  <c:v>1925-26</c:v>
                </c:pt>
                <c:pt idx="7">
                  <c:v>1926-27</c:v>
                </c:pt>
                <c:pt idx="8">
                  <c:v>1927-28</c:v>
                </c:pt>
                <c:pt idx="9">
                  <c:v>1928-29</c:v>
                </c:pt>
                <c:pt idx="10">
                  <c:v>1929-30</c:v>
                </c:pt>
                <c:pt idx="11">
                  <c:v>1930-31</c:v>
                </c:pt>
                <c:pt idx="12">
                  <c:v>1931-32</c:v>
                </c:pt>
                <c:pt idx="13">
                  <c:v>1932-33</c:v>
                </c:pt>
                <c:pt idx="14">
                  <c:v>1933-34</c:v>
                </c:pt>
                <c:pt idx="15">
                  <c:v>1934-35</c:v>
                </c:pt>
                <c:pt idx="16">
                  <c:v>1935-36</c:v>
                </c:pt>
                <c:pt idx="17">
                  <c:v>1936-37</c:v>
                </c:pt>
                <c:pt idx="18">
                  <c:v>1937-38</c:v>
                </c:pt>
                <c:pt idx="19">
                  <c:v>1938-39</c:v>
                </c:pt>
                <c:pt idx="20">
                  <c:v>1939-40</c:v>
                </c:pt>
                <c:pt idx="21">
                  <c:v>1940-41</c:v>
                </c:pt>
                <c:pt idx="22">
                  <c:v>1941-42</c:v>
                </c:pt>
                <c:pt idx="23">
                  <c:v>1942-43</c:v>
                </c:pt>
                <c:pt idx="24">
                  <c:v>1943-44</c:v>
                </c:pt>
                <c:pt idx="25">
                  <c:v>1944-45</c:v>
                </c:pt>
                <c:pt idx="26">
                  <c:v>1945-46</c:v>
                </c:pt>
                <c:pt idx="27">
                  <c:v>1946-47</c:v>
                </c:pt>
                <c:pt idx="28">
                  <c:v>1947-48</c:v>
                </c:pt>
                <c:pt idx="29">
                  <c:v>1948-49</c:v>
                </c:pt>
                <c:pt idx="30">
                  <c:v>1949-50</c:v>
                </c:pt>
                <c:pt idx="31">
                  <c:v>1950-51</c:v>
                </c:pt>
                <c:pt idx="32">
                  <c:v>1951-52</c:v>
                </c:pt>
                <c:pt idx="33">
                  <c:v>1952-53</c:v>
                </c:pt>
                <c:pt idx="34">
                  <c:v>1953-54</c:v>
                </c:pt>
                <c:pt idx="35">
                  <c:v>1954-55</c:v>
                </c:pt>
                <c:pt idx="36">
                  <c:v>1955-56</c:v>
                </c:pt>
                <c:pt idx="37">
                  <c:v>1956-57</c:v>
                </c:pt>
                <c:pt idx="38">
                  <c:v>1957-58</c:v>
                </c:pt>
                <c:pt idx="39">
                  <c:v>1958-59</c:v>
                </c:pt>
                <c:pt idx="40">
                  <c:v>1959-60</c:v>
                </c:pt>
                <c:pt idx="41">
                  <c:v>1960-61</c:v>
                </c:pt>
                <c:pt idx="42">
                  <c:v>1961-62</c:v>
                </c:pt>
                <c:pt idx="43">
                  <c:v>1962-63</c:v>
                </c:pt>
                <c:pt idx="44">
                  <c:v>1963-64</c:v>
                </c:pt>
                <c:pt idx="45">
                  <c:v>1964-65</c:v>
                </c:pt>
                <c:pt idx="46">
                  <c:v>1965-66</c:v>
                </c:pt>
                <c:pt idx="47">
                  <c:v>1966-67</c:v>
                </c:pt>
                <c:pt idx="48">
                  <c:v>1967-68</c:v>
                </c:pt>
                <c:pt idx="49">
                  <c:v>1968-69</c:v>
                </c:pt>
                <c:pt idx="50">
                  <c:v>1969-70</c:v>
                </c:pt>
                <c:pt idx="51">
                  <c:v>1970-71</c:v>
                </c:pt>
                <c:pt idx="52">
                  <c:v>1971-72</c:v>
                </c:pt>
                <c:pt idx="53">
                  <c:v>1972-73</c:v>
                </c:pt>
                <c:pt idx="54">
                  <c:v>1973-74</c:v>
                </c:pt>
                <c:pt idx="55">
                  <c:v>1974-75</c:v>
                </c:pt>
                <c:pt idx="56">
                  <c:v>1975-76</c:v>
                </c:pt>
                <c:pt idx="57">
                  <c:v>1976-77</c:v>
                </c:pt>
                <c:pt idx="58">
                  <c:v>1977-78</c:v>
                </c:pt>
                <c:pt idx="59">
                  <c:v>1978-79</c:v>
                </c:pt>
                <c:pt idx="60">
                  <c:v>1979-80</c:v>
                </c:pt>
                <c:pt idx="61">
                  <c:v>1980-81</c:v>
                </c:pt>
                <c:pt idx="62">
                  <c:v>1981-82</c:v>
                </c:pt>
                <c:pt idx="63">
                  <c:v>1982-83</c:v>
                </c:pt>
                <c:pt idx="64">
                  <c:v>1983-84</c:v>
                </c:pt>
                <c:pt idx="65">
                  <c:v>1984-85</c:v>
                </c:pt>
                <c:pt idx="66">
                  <c:v>1985-86</c:v>
                </c:pt>
                <c:pt idx="67">
                  <c:v>1986-87</c:v>
                </c:pt>
                <c:pt idx="68">
                  <c:v>1987-88</c:v>
                </c:pt>
                <c:pt idx="69">
                  <c:v>1988-89</c:v>
                </c:pt>
                <c:pt idx="70">
                  <c:v>1989-90</c:v>
                </c:pt>
                <c:pt idx="71">
                  <c:v>1990-91</c:v>
                </c:pt>
                <c:pt idx="72">
                  <c:v>1991-92</c:v>
                </c:pt>
                <c:pt idx="73">
                  <c:v>1992-93</c:v>
                </c:pt>
                <c:pt idx="74">
                  <c:v>1993-94</c:v>
                </c:pt>
                <c:pt idx="75">
                  <c:v>1994-95</c:v>
                </c:pt>
                <c:pt idx="76">
                  <c:v>1995-96</c:v>
                </c:pt>
                <c:pt idx="77">
                  <c:v>1996-97</c:v>
                </c:pt>
                <c:pt idx="78">
                  <c:v>1997-98</c:v>
                </c:pt>
                <c:pt idx="79">
                  <c:v>1998-99</c:v>
                </c:pt>
                <c:pt idx="80">
                  <c:v>1999-00</c:v>
                </c:pt>
                <c:pt idx="81">
                  <c:v>2000-01</c:v>
                </c:pt>
                <c:pt idx="82">
                  <c:v>2001-02</c:v>
                </c:pt>
                <c:pt idx="83">
                  <c:v>2002-03</c:v>
                </c:pt>
                <c:pt idx="84">
                  <c:v>2003-04</c:v>
                </c:pt>
                <c:pt idx="85">
                  <c:v>2004-05</c:v>
                </c:pt>
                <c:pt idx="86">
                  <c:v>2005-06</c:v>
                </c:pt>
                <c:pt idx="87">
                  <c:v>2006-07</c:v>
                </c:pt>
                <c:pt idx="88">
                  <c:v>2007-08</c:v>
                </c:pt>
                <c:pt idx="89">
                  <c:v>2008-09</c:v>
                </c:pt>
                <c:pt idx="90">
                  <c:v>2009-10</c:v>
                </c:pt>
                <c:pt idx="91">
                  <c:v>2010-11</c:v>
                </c:pt>
                <c:pt idx="92">
                  <c:v>2011-12</c:v>
                </c:pt>
                <c:pt idx="93">
                  <c:v>2012-13</c:v>
                </c:pt>
                <c:pt idx="94">
                  <c:v>2013-14</c:v>
                </c:pt>
                <c:pt idx="95">
                  <c:v>2014-15</c:v>
                </c:pt>
                <c:pt idx="96">
                  <c:v>2015-16</c:v>
                </c:pt>
                <c:pt idx="97">
                  <c:v>2016-17</c:v>
                </c:pt>
                <c:pt idx="98">
                  <c:v>2017-18</c:v>
                </c:pt>
                <c:pt idx="99">
                  <c:v>2018-19</c:v>
                </c:pt>
              </c:strCache>
            </c:strRef>
          </c:cat>
          <c:val>
            <c:numRef>
              <c:f>(Revenue!$R$7:$R$86,Revenue!$R$90:$R$109)</c:f>
              <c:numCache>
                <c:formatCode>0.00%</c:formatCode>
                <c:ptCount val="100"/>
                <c:pt idx="0">
                  <c:v>8.6659613077179565E-2</c:v>
                </c:pt>
                <c:pt idx="1">
                  <c:v>0.11490726128295893</c:v>
                </c:pt>
                <c:pt idx="2">
                  <c:v>6.7704596768183745E-2</c:v>
                </c:pt>
                <c:pt idx="3">
                  <c:v>6.1113845830200811E-2</c:v>
                </c:pt>
                <c:pt idx="4">
                  <c:v>5.4804705704429621E-2</c:v>
                </c:pt>
                <c:pt idx="5">
                  <c:v>5.7768141829091291E-2</c:v>
                </c:pt>
                <c:pt idx="6">
                  <c:v>5.3849544496896787E-2</c:v>
                </c:pt>
                <c:pt idx="7">
                  <c:v>5.2861223194450739E-2</c:v>
                </c:pt>
                <c:pt idx="8">
                  <c:v>4.8618078635480025E-2</c:v>
                </c:pt>
                <c:pt idx="9">
                  <c:v>5.1652020310228607E-2</c:v>
                </c:pt>
                <c:pt idx="10">
                  <c:v>5.031156742909966E-2</c:v>
                </c:pt>
                <c:pt idx="11">
                  <c:v>4.8132557715952921E-2</c:v>
                </c:pt>
                <c:pt idx="12">
                  <c:v>4.899520495137781E-2</c:v>
                </c:pt>
                <c:pt idx="13">
                  <c:v>5.0922523057219386E-2</c:v>
                </c:pt>
                <c:pt idx="14">
                  <c:v>4.9057206193255508E-2</c:v>
                </c:pt>
                <c:pt idx="15">
                  <c:v>4.4414965826419163E-2</c:v>
                </c:pt>
                <c:pt idx="16">
                  <c:v>4.9864593687648846E-2</c:v>
                </c:pt>
                <c:pt idx="17">
                  <c:v>4.9431978747065224E-2</c:v>
                </c:pt>
                <c:pt idx="18">
                  <c:v>4.5075201839904877E-2</c:v>
                </c:pt>
                <c:pt idx="19">
                  <c:v>5.3396095760250784E-2</c:v>
                </c:pt>
                <c:pt idx="20">
                  <c:v>4.691952237423154E-2</c:v>
                </c:pt>
                <c:pt idx="21">
                  <c:v>4.706564890399622E-2</c:v>
                </c:pt>
                <c:pt idx="22">
                  <c:v>4.6120453568768607E-2</c:v>
                </c:pt>
                <c:pt idx="23">
                  <c:v>4.7367097459621567E-2</c:v>
                </c:pt>
                <c:pt idx="24">
                  <c:v>5.2533403253152984E-2</c:v>
                </c:pt>
                <c:pt idx="26">
                  <c:v>4.5727445762990218E-2</c:v>
                </c:pt>
                <c:pt idx="28">
                  <c:v>0.1479784519536092</c:v>
                </c:pt>
                <c:pt idx="29">
                  <c:v>0.13866871329734104</c:v>
                </c:pt>
                <c:pt idx="30">
                  <c:v>3.1425162381168111E-2</c:v>
                </c:pt>
                <c:pt idx="31">
                  <c:v>2.9445286485720486E-2</c:v>
                </c:pt>
                <c:pt idx="32">
                  <c:v>3.9297513903799423E-2</c:v>
                </c:pt>
                <c:pt idx="33">
                  <c:v>3.368572312716623E-2</c:v>
                </c:pt>
                <c:pt idx="34">
                  <c:v>4.622818941964154E-2</c:v>
                </c:pt>
                <c:pt idx="35">
                  <c:v>4.2686732814240597E-2</c:v>
                </c:pt>
                <c:pt idx="36">
                  <c:v>4.7877356767818395E-2</c:v>
                </c:pt>
                <c:pt idx="37">
                  <c:v>5.5814147922472739E-2</c:v>
                </c:pt>
                <c:pt idx="38">
                  <c:v>6.2001510323766586E-2</c:v>
                </c:pt>
                <c:pt idx="39">
                  <c:v>6.618651260629535E-2</c:v>
                </c:pt>
                <c:pt idx="40">
                  <c:v>5.2372362695940922E-2</c:v>
                </c:pt>
                <c:pt idx="41">
                  <c:v>5.5021904050620268E-2</c:v>
                </c:pt>
                <c:pt idx="42">
                  <c:v>5.8599202755087183E-2</c:v>
                </c:pt>
                <c:pt idx="43">
                  <c:v>6.5949923148946127E-2</c:v>
                </c:pt>
                <c:pt idx="44">
                  <c:v>7.2867470169678719E-2</c:v>
                </c:pt>
                <c:pt idx="45">
                  <c:v>0.11498226760456212</c:v>
                </c:pt>
                <c:pt idx="46">
                  <c:v>0.1112143736376219</c:v>
                </c:pt>
                <c:pt idx="47">
                  <c:v>9.6941764628414709E-2</c:v>
                </c:pt>
                <c:pt idx="48">
                  <c:v>8.9556400809245248E-2</c:v>
                </c:pt>
                <c:pt idx="49">
                  <c:v>8.9779792039169956E-2</c:v>
                </c:pt>
                <c:pt idx="50">
                  <c:v>8.1950232880971599E-2</c:v>
                </c:pt>
                <c:pt idx="51">
                  <c:v>9.6130332489736001E-2</c:v>
                </c:pt>
                <c:pt idx="52">
                  <c:v>6.4310997236235609E-2</c:v>
                </c:pt>
                <c:pt idx="53">
                  <c:v>7.775834852767223E-2</c:v>
                </c:pt>
                <c:pt idx="54">
                  <c:v>7.1144096226688838E-2</c:v>
                </c:pt>
                <c:pt idx="55">
                  <c:v>7.461152130512004E-2</c:v>
                </c:pt>
                <c:pt idx="56">
                  <c:v>8.9734294891863534E-2</c:v>
                </c:pt>
                <c:pt idx="57">
                  <c:v>7.8794579985349888E-2</c:v>
                </c:pt>
                <c:pt idx="58">
                  <c:v>6.0280447454125127E-2</c:v>
                </c:pt>
                <c:pt idx="59">
                  <c:v>6.7882797403430464E-2</c:v>
                </c:pt>
                <c:pt idx="60">
                  <c:v>8.1573768970967131E-2</c:v>
                </c:pt>
                <c:pt idx="61">
                  <c:v>7.8868496355723502E-2</c:v>
                </c:pt>
                <c:pt idx="62">
                  <c:v>7.6059257212556242E-2</c:v>
                </c:pt>
                <c:pt idx="63">
                  <c:v>8.0611273308209788E-2</c:v>
                </c:pt>
                <c:pt idx="64">
                  <c:v>6.006432152331314E-2</c:v>
                </c:pt>
                <c:pt idx="65">
                  <c:v>4.8983507582718841E-2</c:v>
                </c:pt>
                <c:pt idx="66">
                  <c:v>6.369363873062299E-2</c:v>
                </c:pt>
                <c:pt idx="67">
                  <c:v>5.9091341643578078E-2</c:v>
                </c:pt>
                <c:pt idx="68">
                  <c:v>7.6045078595334839E-2</c:v>
                </c:pt>
                <c:pt idx="69">
                  <c:v>8.0379786817889959E-2</c:v>
                </c:pt>
                <c:pt idx="70">
                  <c:v>8.0244255278712165E-2</c:v>
                </c:pt>
                <c:pt idx="71">
                  <c:v>7.4924920576774814E-2</c:v>
                </c:pt>
                <c:pt idx="72">
                  <c:v>8.16247388741487E-2</c:v>
                </c:pt>
                <c:pt idx="73">
                  <c:v>7.6166899818945977E-2</c:v>
                </c:pt>
                <c:pt idx="74">
                  <c:v>7.8310155999123485E-2</c:v>
                </c:pt>
                <c:pt idx="75">
                  <c:v>6.9698805126716723E-2</c:v>
                </c:pt>
                <c:pt idx="76">
                  <c:v>6.6773430385088886E-2</c:v>
                </c:pt>
                <c:pt idx="77">
                  <c:v>7.0596419327609253E-2</c:v>
                </c:pt>
                <c:pt idx="78">
                  <c:v>8.9864396401508256E-2</c:v>
                </c:pt>
                <c:pt idx="79">
                  <c:v>8.5330536539316076E-2</c:v>
                </c:pt>
                <c:pt idx="80">
                  <c:v>0.54825688041480658</c:v>
                </c:pt>
                <c:pt idx="81">
                  <c:v>0.50660534751848563</c:v>
                </c:pt>
                <c:pt idx="82">
                  <c:v>0.50817508592609006</c:v>
                </c:pt>
                <c:pt idx="83">
                  <c:v>0.49721860961470377</c:v>
                </c:pt>
                <c:pt idx="84">
                  <c:v>0.46323108962648857</c:v>
                </c:pt>
                <c:pt idx="85">
                  <c:v>0.39731801584200471</c:v>
                </c:pt>
                <c:pt idx="86">
                  <c:v>0.39496292898300994</c:v>
                </c:pt>
                <c:pt idx="87">
                  <c:v>0.37810964255466861</c:v>
                </c:pt>
                <c:pt idx="88">
                  <c:v>0.38742010345166011</c:v>
                </c:pt>
                <c:pt idx="89">
                  <c:v>0.3697914005008695</c:v>
                </c:pt>
                <c:pt idx="90">
                  <c:v>0.37708837479025437</c:v>
                </c:pt>
                <c:pt idx="91">
                  <c:v>0.37264808464964094</c:v>
                </c:pt>
                <c:pt idx="92">
                  <c:v>0.36449827940202312</c:v>
                </c:pt>
                <c:pt idx="93">
                  <c:v>0.35914257483617007</c:v>
                </c:pt>
                <c:pt idx="94">
                  <c:v>0.34312850350100338</c:v>
                </c:pt>
                <c:pt idx="95">
                  <c:v>0.33743125494643755</c:v>
                </c:pt>
                <c:pt idx="96">
                  <c:v>0.33056243971509575</c:v>
                </c:pt>
                <c:pt idx="97">
                  <c:v>0.32531909896063388</c:v>
                </c:pt>
                <c:pt idx="98">
                  <c:v>0.3160910351250607</c:v>
                </c:pt>
                <c:pt idx="99">
                  <c:v>0.31151893906442324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7F-476E-B59F-BC4B80EB85D7}"/>
            </c:ext>
          </c:extLst>
        </c:ser>
        <c:ser>
          <c:idx val="1"/>
          <c:order val="1"/>
          <c:tx>
            <c:v>Excluding statewide property tax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(Revenue!$A$7:$A$86,Revenue!$A$90:$A$109)</c:f>
              <c:strCache>
                <c:ptCount val="100"/>
                <c:pt idx="0">
                  <c:v>1919-20</c:v>
                </c:pt>
                <c:pt idx="1">
                  <c:v>1920-21</c:v>
                </c:pt>
                <c:pt idx="2">
                  <c:v>1921-22</c:v>
                </c:pt>
                <c:pt idx="3">
                  <c:v>1922-23</c:v>
                </c:pt>
                <c:pt idx="4">
                  <c:v>1923-24</c:v>
                </c:pt>
                <c:pt idx="5">
                  <c:v>1924-25</c:v>
                </c:pt>
                <c:pt idx="6">
                  <c:v>1925-26</c:v>
                </c:pt>
                <c:pt idx="7">
                  <c:v>1926-27</c:v>
                </c:pt>
                <c:pt idx="8">
                  <c:v>1927-28</c:v>
                </c:pt>
                <c:pt idx="9">
                  <c:v>1928-29</c:v>
                </c:pt>
                <c:pt idx="10">
                  <c:v>1929-30</c:v>
                </c:pt>
                <c:pt idx="11">
                  <c:v>1930-31</c:v>
                </c:pt>
                <c:pt idx="12">
                  <c:v>1931-32</c:v>
                </c:pt>
                <c:pt idx="13">
                  <c:v>1932-33</c:v>
                </c:pt>
                <c:pt idx="14">
                  <c:v>1933-34</c:v>
                </c:pt>
                <c:pt idx="15">
                  <c:v>1934-35</c:v>
                </c:pt>
                <c:pt idx="16">
                  <c:v>1935-36</c:v>
                </c:pt>
                <c:pt idx="17">
                  <c:v>1936-37</c:v>
                </c:pt>
                <c:pt idx="18">
                  <c:v>1937-38</c:v>
                </c:pt>
                <c:pt idx="19">
                  <c:v>1938-39</c:v>
                </c:pt>
                <c:pt idx="20">
                  <c:v>1939-40</c:v>
                </c:pt>
                <c:pt idx="21">
                  <c:v>1940-41</c:v>
                </c:pt>
                <c:pt idx="22">
                  <c:v>1941-42</c:v>
                </c:pt>
                <c:pt idx="23">
                  <c:v>1942-43</c:v>
                </c:pt>
                <c:pt idx="24">
                  <c:v>1943-44</c:v>
                </c:pt>
                <c:pt idx="25">
                  <c:v>1944-45</c:v>
                </c:pt>
                <c:pt idx="26">
                  <c:v>1945-46</c:v>
                </c:pt>
                <c:pt idx="27">
                  <c:v>1946-47</c:v>
                </c:pt>
                <c:pt idx="28">
                  <c:v>1947-48</c:v>
                </c:pt>
                <c:pt idx="29">
                  <c:v>1948-49</c:v>
                </c:pt>
                <c:pt idx="30">
                  <c:v>1949-50</c:v>
                </c:pt>
                <c:pt idx="31">
                  <c:v>1950-51</c:v>
                </c:pt>
                <c:pt idx="32">
                  <c:v>1951-52</c:v>
                </c:pt>
                <c:pt idx="33">
                  <c:v>1952-53</c:v>
                </c:pt>
                <c:pt idx="34">
                  <c:v>1953-54</c:v>
                </c:pt>
                <c:pt idx="35">
                  <c:v>1954-55</c:v>
                </c:pt>
                <c:pt idx="36">
                  <c:v>1955-56</c:v>
                </c:pt>
                <c:pt idx="37">
                  <c:v>1956-57</c:v>
                </c:pt>
                <c:pt idx="38">
                  <c:v>1957-58</c:v>
                </c:pt>
                <c:pt idx="39">
                  <c:v>1958-59</c:v>
                </c:pt>
                <c:pt idx="40">
                  <c:v>1959-60</c:v>
                </c:pt>
                <c:pt idx="41">
                  <c:v>1960-61</c:v>
                </c:pt>
                <c:pt idx="42">
                  <c:v>1961-62</c:v>
                </c:pt>
                <c:pt idx="43">
                  <c:v>1962-63</c:v>
                </c:pt>
                <c:pt idx="44">
                  <c:v>1963-64</c:v>
                </c:pt>
                <c:pt idx="45">
                  <c:v>1964-65</c:v>
                </c:pt>
                <c:pt idx="46">
                  <c:v>1965-66</c:v>
                </c:pt>
                <c:pt idx="47">
                  <c:v>1966-67</c:v>
                </c:pt>
                <c:pt idx="48">
                  <c:v>1967-68</c:v>
                </c:pt>
                <c:pt idx="49">
                  <c:v>1968-69</c:v>
                </c:pt>
                <c:pt idx="50">
                  <c:v>1969-70</c:v>
                </c:pt>
                <c:pt idx="51">
                  <c:v>1970-71</c:v>
                </c:pt>
                <c:pt idx="52">
                  <c:v>1971-72</c:v>
                </c:pt>
                <c:pt idx="53">
                  <c:v>1972-73</c:v>
                </c:pt>
                <c:pt idx="54">
                  <c:v>1973-74</c:v>
                </c:pt>
                <c:pt idx="55">
                  <c:v>1974-75</c:v>
                </c:pt>
                <c:pt idx="56">
                  <c:v>1975-76</c:v>
                </c:pt>
                <c:pt idx="57">
                  <c:v>1976-77</c:v>
                </c:pt>
                <c:pt idx="58">
                  <c:v>1977-78</c:v>
                </c:pt>
                <c:pt idx="59">
                  <c:v>1978-79</c:v>
                </c:pt>
                <c:pt idx="60">
                  <c:v>1979-80</c:v>
                </c:pt>
                <c:pt idx="61">
                  <c:v>1980-81</c:v>
                </c:pt>
                <c:pt idx="62">
                  <c:v>1981-82</c:v>
                </c:pt>
                <c:pt idx="63">
                  <c:v>1982-83</c:v>
                </c:pt>
                <c:pt idx="64">
                  <c:v>1983-84</c:v>
                </c:pt>
                <c:pt idx="65">
                  <c:v>1984-85</c:v>
                </c:pt>
                <c:pt idx="66">
                  <c:v>1985-86</c:v>
                </c:pt>
                <c:pt idx="67">
                  <c:v>1986-87</c:v>
                </c:pt>
                <c:pt idx="68">
                  <c:v>1987-88</c:v>
                </c:pt>
                <c:pt idx="69">
                  <c:v>1988-89</c:v>
                </c:pt>
                <c:pt idx="70">
                  <c:v>1989-90</c:v>
                </c:pt>
                <c:pt idx="71">
                  <c:v>1990-91</c:v>
                </c:pt>
                <c:pt idx="72">
                  <c:v>1991-92</c:v>
                </c:pt>
                <c:pt idx="73">
                  <c:v>1992-93</c:v>
                </c:pt>
                <c:pt idx="74">
                  <c:v>1993-94</c:v>
                </c:pt>
                <c:pt idx="75">
                  <c:v>1994-95</c:v>
                </c:pt>
                <c:pt idx="76">
                  <c:v>1995-96</c:v>
                </c:pt>
                <c:pt idx="77">
                  <c:v>1996-97</c:v>
                </c:pt>
                <c:pt idx="78">
                  <c:v>1997-98</c:v>
                </c:pt>
                <c:pt idx="79">
                  <c:v>1998-99</c:v>
                </c:pt>
                <c:pt idx="80">
                  <c:v>1999-00</c:v>
                </c:pt>
                <c:pt idx="81">
                  <c:v>2000-01</c:v>
                </c:pt>
                <c:pt idx="82">
                  <c:v>2001-02</c:v>
                </c:pt>
                <c:pt idx="83">
                  <c:v>2002-03</c:v>
                </c:pt>
                <c:pt idx="84">
                  <c:v>2003-04</c:v>
                </c:pt>
                <c:pt idx="85">
                  <c:v>2004-05</c:v>
                </c:pt>
                <c:pt idx="86">
                  <c:v>2005-06</c:v>
                </c:pt>
                <c:pt idx="87">
                  <c:v>2006-07</c:v>
                </c:pt>
                <c:pt idx="88">
                  <c:v>2007-08</c:v>
                </c:pt>
                <c:pt idx="89">
                  <c:v>2008-09</c:v>
                </c:pt>
                <c:pt idx="90">
                  <c:v>2009-10</c:v>
                </c:pt>
                <c:pt idx="91">
                  <c:v>2010-11</c:v>
                </c:pt>
                <c:pt idx="92">
                  <c:v>2011-12</c:v>
                </c:pt>
                <c:pt idx="93">
                  <c:v>2012-13</c:v>
                </c:pt>
                <c:pt idx="94">
                  <c:v>2013-14</c:v>
                </c:pt>
                <c:pt idx="95">
                  <c:v>2014-15</c:v>
                </c:pt>
                <c:pt idx="96">
                  <c:v>2015-16</c:v>
                </c:pt>
                <c:pt idx="97">
                  <c:v>2016-17</c:v>
                </c:pt>
                <c:pt idx="98">
                  <c:v>2017-18</c:v>
                </c:pt>
                <c:pt idx="99">
                  <c:v>2018-19</c:v>
                </c:pt>
              </c:strCache>
            </c:strRef>
          </c:cat>
          <c:val>
            <c:numRef>
              <c:f>(Revenue!$S$7:$S$86,Revenue!$S$90:$S$109)</c:f>
              <c:numCache>
                <c:formatCode>0.00%</c:formatCode>
                <c:ptCount val="100"/>
                <c:pt idx="0">
                  <c:v>8.6659613077179565E-2</c:v>
                </c:pt>
                <c:pt idx="1">
                  <c:v>0.11490726128295893</c:v>
                </c:pt>
                <c:pt idx="2">
                  <c:v>6.7704596768183745E-2</c:v>
                </c:pt>
                <c:pt idx="3">
                  <c:v>6.1113845830200811E-2</c:v>
                </c:pt>
                <c:pt idx="4">
                  <c:v>5.4804705704429621E-2</c:v>
                </c:pt>
                <c:pt idx="5">
                  <c:v>5.7768141829091291E-2</c:v>
                </c:pt>
                <c:pt idx="6">
                  <c:v>5.3849544496896787E-2</c:v>
                </c:pt>
                <c:pt idx="7">
                  <c:v>5.2861223194450739E-2</c:v>
                </c:pt>
                <c:pt idx="8">
                  <c:v>4.8618078635480025E-2</c:v>
                </c:pt>
                <c:pt idx="9">
                  <c:v>5.1652020310228607E-2</c:v>
                </c:pt>
                <c:pt idx="10">
                  <c:v>5.031156742909966E-2</c:v>
                </c:pt>
                <c:pt idx="11">
                  <c:v>4.8132557715952921E-2</c:v>
                </c:pt>
                <c:pt idx="12">
                  <c:v>4.899520495137781E-2</c:v>
                </c:pt>
                <c:pt idx="13">
                  <c:v>5.0922523057219386E-2</c:v>
                </c:pt>
                <c:pt idx="14">
                  <c:v>4.9057206193255508E-2</c:v>
                </c:pt>
                <c:pt idx="15">
                  <c:v>4.4414965826419163E-2</c:v>
                </c:pt>
                <c:pt idx="16">
                  <c:v>4.9864593687648846E-2</c:v>
                </c:pt>
                <c:pt idx="17">
                  <c:v>4.9431978747065224E-2</c:v>
                </c:pt>
                <c:pt idx="18">
                  <c:v>4.5075201839904877E-2</c:v>
                </c:pt>
                <c:pt idx="19">
                  <c:v>5.3396095760250784E-2</c:v>
                </c:pt>
                <c:pt idx="20">
                  <c:v>4.691952237423154E-2</c:v>
                </c:pt>
                <c:pt idx="21">
                  <c:v>4.706564890399622E-2</c:v>
                </c:pt>
                <c:pt idx="22">
                  <c:v>4.6120453568768607E-2</c:v>
                </c:pt>
                <c:pt idx="23">
                  <c:v>4.7367097459621567E-2</c:v>
                </c:pt>
                <c:pt idx="24">
                  <c:v>5.2533403253152984E-2</c:v>
                </c:pt>
                <c:pt idx="26">
                  <c:v>4.5727445762990218E-2</c:v>
                </c:pt>
                <c:pt idx="28">
                  <c:v>0.1479784519536092</c:v>
                </c:pt>
                <c:pt idx="29">
                  <c:v>0.13866871329734104</c:v>
                </c:pt>
                <c:pt idx="30">
                  <c:v>3.1425162381168111E-2</c:v>
                </c:pt>
                <c:pt idx="31">
                  <c:v>2.9445286485720486E-2</c:v>
                </c:pt>
                <c:pt idx="32">
                  <c:v>3.9297513903799423E-2</c:v>
                </c:pt>
                <c:pt idx="33">
                  <c:v>3.368572312716623E-2</c:v>
                </c:pt>
                <c:pt idx="34">
                  <c:v>4.622818941964154E-2</c:v>
                </c:pt>
                <c:pt idx="35">
                  <c:v>4.2686732814240597E-2</c:v>
                </c:pt>
                <c:pt idx="36">
                  <c:v>4.7877356767818395E-2</c:v>
                </c:pt>
                <c:pt idx="37">
                  <c:v>5.5814147922472739E-2</c:v>
                </c:pt>
                <c:pt idx="38">
                  <c:v>6.2001510323766586E-2</c:v>
                </c:pt>
                <c:pt idx="39">
                  <c:v>6.618651260629535E-2</c:v>
                </c:pt>
                <c:pt idx="40">
                  <c:v>5.2372362695940922E-2</c:v>
                </c:pt>
                <c:pt idx="41">
                  <c:v>5.5021904050620268E-2</c:v>
                </c:pt>
                <c:pt idx="42">
                  <c:v>5.8599202755087183E-2</c:v>
                </c:pt>
                <c:pt idx="43">
                  <c:v>6.5949923148946127E-2</c:v>
                </c:pt>
                <c:pt idx="44">
                  <c:v>7.2867470169678719E-2</c:v>
                </c:pt>
                <c:pt idx="45">
                  <c:v>0.11498226760456212</c:v>
                </c:pt>
                <c:pt idx="46">
                  <c:v>0.1112143736376219</c:v>
                </c:pt>
                <c:pt idx="47">
                  <c:v>9.6941764628414709E-2</c:v>
                </c:pt>
                <c:pt idx="48">
                  <c:v>8.9556400809245248E-2</c:v>
                </c:pt>
                <c:pt idx="49">
                  <c:v>8.9779792039169956E-2</c:v>
                </c:pt>
                <c:pt idx="50">
                  <c:v>8.1950232880971599E-2</c:v>
                </c:pt>
                <c:pt idx="51">
                  <c:v>9.6130332489736001E-2</c:v>
                </c:pt>
                <c:pt idx="52">
                  <c:v>6.4310997236235609E-2</c:v>
                </c:pt>
                <c:pt idx="53">
                  <c:v>7.775834852767223E-2</c:v>
                </c:pt>
                <c:pt idx="54">
                  <c:v>7.1144096226688838E-2</c:v>
                </c:pt>
                <c:pt idx="55">
                  <c:v>7.461152130512004E-2</c:v>
                </c:pt>
                <c:pt idx="56">
                  <c:v>8.9734294891863534E-2</c:v>
                </c:pt>
                <c:pt idx="57">
                  <c:v>7.8794579985349888E-2</c:v>
                </c:pt>
                <c:pt idx="58">
                  <c:v>6.0280447454125127E-2</c:v>
                </c:pt>
                <c:pt idx="59">
                  <c:v>6.7882797403430464E-2</c:v>
                </c:pt>
                <c:pt idx="60">
                  <c:v>8.1573768970967131E-2</c:v>
                </c:pt>
                <c:pt idx="61">
                  <c:v>7.8868496355723502E-2</c:v>
                </c:pt>
                <c:pt idx="62">
                  <c:v>7.6059257212556242E-2</c:v>
                </c:pt>
                <c:pt idx="63">
                  <c:v>8.0611273308209788E-2</c:v>
                </c:pt>
                <c:pt idx="64">
                  <c:v>6.006432152331314E-2</c:v>
                </c:pt>
                <c:pt idx="65">
                  <c:v>4.8983507582718841E-2</c:v>
                </c:pt>
                <c:pt idx="66">
                  <c:v>6.369363873062299E-2</c:v>
                </c:pt>
                <c:pt idx="67">
                  <c:v>5.9091341643578078E-2</c:v>
                </c:pt>
                <c:pt idx="68">
                  <c:v>7.6045078595334839E-2</c:v>
                </c:pt>
                <c:pt idx="69">
                  <c:v>8.0379786817889959E-2</c:v>
                </c:pt>
                <c:pt idx="70">
                  <c:v>8.0244255278712165E-2</c:v>
                </c:pt>
                <c:pt idx="71">
                  <c:v>7.4924920576774814E-2</c:v>
                </c:pt>
                <c:pt idx="72">
                  <c:v>8.16247388741487E-2</c:v>
                </c:pt>
                <c:pt idx="73">
                  <c:v>7.6166899818945977E-2</c:v>
                </c:pt>
                <c:pt idx="74">
                  <c:v>7.8310155999123485E-2</c:v>
                </c:pt>
                <c:pt idx="75">
                  <c:v>6.9698805126716723E-2</c:v>
                </c:pt>
                <c:pt idx="76">
                  <c:v>6.6773430385088886E-2</c:v>
                </c:pt>
                <c:pt idx="77">
                  <c:v>7.0596419327609253E-2</c:v>
                </c:pt>
                <c:pt idx="78">
                  <c:v>8.9864396401508256E-2</c:v>
                </c:pt>
                <c:pt idx="79">
                  <c:v>8.5330536539316076E-2</c:v>
                </c:pt>
                <c:pt idx="80">
                  <c:v>0.28491833600699329</c:v>
                </c:pt>
                <c:pt idx="81">
                  <c:v>0.26562581369919874</c:v>
                </c:pt>
                <c:pt idx="82">
                  <c:v>0.26191199140595994</c:v>
                </c:pt>
                <c:pt idx="83">
                  <c:v>0.26027883578041922</c:v>
                </c:pt>
                <c:pt idx="84">
                  <c:v>0.23516585848017069</c:v>
                </c:pt>
                <c:pt idx="85">
                  <c:v>0.22796817452747747</c:v>
                </c:pt>
                <c:pt idx="86">
                  <c:v>0.23800439754261651</c:v>
                </c:pt>
                <c:pt idx="87">
                  <c:v>0.22959826215669268</c:v>
                </c:pt>
                <c:pt idx="88">
                  <c:v>0.24485678902545777</c:v>
                </c:pt>
                <c:pt idx="89">
                  <c:v>0.23259104418447549</c:v>
                </c:pt>
                <c:pt idx="90">
                  <c:v>0.24460707567872866</c:v>
                </c:pt>
                <c:pt idx="91">
                  <c:v>0.24205166702858941</c:v>
                </c:pt>
                <c:pt idx="92">
                  <c:v>0.23601841927249209</c:v>
                </c:pt>
                <c:pt idx="93">
                  <c:v>0.23113473191687928</c:v>
                </c:pt>
                <c:pt idx="94">
                  <c:v>0.21901282933227731</c:v>
                </c:pt>
                <c:pt idx="95">
                  <c:v>0.21488219716855786</c:v>
                </c:pt>
                <c:pt idx="96">
                  <c:v>0.21114682344512584</c:v>
                </c:pt>
                <c:pt idx="97">
                  <c:v>0.20795660538416233</c:v>
                </c:pt>
                <c:pt idx="98">
                  <c:v>0.20131357595822413</c:v>
                </c:pt>
                <c:pt idx="99">
                  <c:v>0.19934110327794516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F-476E-B59F-BC4B80EB8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41536"/>
        <c:axId val="132643840"/>
      </c:lineChart>
      <c:catAx>
        <c:axId val="13264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School Year</a:t>
                </a:r>
              </a:p>
            </c:rich>
          </c:tx>
          <c:layout>
            <c:manualLayout>
              <c:xMode val="edge"/>
              <c:yMode val="edge"/>
              <c:x val="0.453091684434968"/>
              <c:y val="0.9408369408369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4384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3264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41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22011788093828"/>
          <c:y val="0.4667676764154618"/>
          <c:w val="0.38059701492537312"/>
          <c:h val="0.1053391053391053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Expenditures for School</a:t>
            </a:r>
            <a:r>
              <a:rPr lang="en-US" baseline="0"/>
              <a:t> Construction</a:t>
            </a:r>
            <a:r>
              <a:rPr lang="en-US"/>
              <a:t> 1948/49 - 2018/19</a:t>
            </a:r>
          </a:p>
        </c:rich>
      </c:tx>
      <c:layout>
        <c:manualLayout>
          <c:xMode val="edge"/>
          <c:yMode val="edge"/>
          <c:x val="0.22358175750834261"/>
          <c:y val="1.9672131147540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273637374861"/>
          <c:y val="0.10290909240810152"/>
          <c:w val="0.82424916573971074"/>
          <c:h val="0.65774674159596103"/>
        </c:manualLayout>
      </c:layout>
      <c:lineChart>
        <c:grouping val="standard"/>
        <c:varyColors val="0"/>
        <c:ser>
          <c:idx val="0"/>
          <c:order val="0"/>
          <c:tx>
            <c:v>Acquisition and Construction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(Spending!$A$38:$A$88,Spending!$A$94:$A$113)</c:f>
              <c:strCache>
                <c:ptCount val="71"/>
                <c:pt idx="0">
                  <c:v>1948-49</c:v>
                </c:pt>
                <c:pt idx="1">
                  <c:v>1949-50</c:v>
                </c:pt>
                <c:pt idx="2">
                  <c:v>1950-51</c:v>
                </c:pt>
                <c:pt idx="3">
                  <c:v>1951-52</c:v>
                </c:pt>
                <c:pt idx="4">
                  <c:v>1952-53</c:v>
                </c:pt>
                <c:pt idx="5">
                  <c:v>1953-54</c:v>
                </c:pt>
                <c:pt idx="6">
                  <c:v>1954-55</c:v>
                </c:pt>
                <c:pt idx="7">
                  <c:v>1955-56</c:v>
                </c:pt>
                <c:pt idx="8">
                  <c:v>1956-57</c:v>
                </c:pt>
                <c:pt idx="9">
                  <c:v>1957-58</c:v>
                </c:pt>
                <c:pt idx="10">
                  <c:v>1958-59</c:v>
                </c:pt>
                <c:pt idx="11">
                  <c:v>1959-60</c:v>
                </c:pt>
                <c:pt idx="12">
                  <c:v>1960-61</c:v>
                </c:pt>
                <c:pt idx="13">
                  <c:v>1961-62</c:v>
                </c:pt>
                <c:pt idx="14">
                  <c:v>1962-63</c:v>
                </c:pt>
                <c:pt idx="15">
                  <c:v>1963-64</c:v>
                </c:pt>
                <c:pt idx="16">
                  <c:v>1964-65</c:v>
                </c:pt>
                <c:pt idx="17">
                  <c:v>1965-66</c:v>
                </c:pt>
                <c:pt idx="18">
                  <c:v>1966-67</c:v>
                </c:pt>
                <c:pt idx="19">
                  <c:v>1967-68</c:v>
                </c:pt>
                <c:pt idx="20">
                  <c:v>1968-69</c:v>
                </c:pt>
                <c:pt idx="21">
                  <c:v>1969-70</c:v>
                </c:pt>
                <c:pt idx="22">
                  <c:v>1970-71</c:v>
                </c:pt>
                <c:pt idx="23">
                  <c:v>1971-72</c:v>
                </c:pt>
                <c:pt idx="24">
                  <c:v>1972-73</c:v>
                </c:pt>
                <c:pt idx="25">
                  <c:v>1973-74</c:v>
                </c:pt>
                <c:pt idx="26">
                  <c:v>1974-75</c:v>
                </c:pt>
                <c:pt idx="27">
                  <c:v>1975-76</c:v>
                </c:pt>
                <c:pt idx="28">
                  <c:v>1976-77</c:v>
                </c:pt>
                <c:pt idx="29">
                  <c:v>1977-78</c:v>
                </c:pt>
                <c:pt idx="30">
                  <c:v>1978-79</c:v>
                </c:pt>
                <c:pt idx="31">
                  <c:v>1979-80</c:v>
                </c:pt>
                <c:pt idx="32">
                  <c:v>1980-81</c:v>
                </c:pt>
                <c:pt idx="33">
                  <c:v>1981-82</c:v>
                </c:pt>
                <c:pt idx="34">
                  <c:v>1982-83</c:v>
                </c:pt>
                <c:pt idx="35">
                  <c:v>1983-84</c:v>
                </c:pt>
                <c:pt idx="36">
                  <c:v>1984-85</c:v>
                </c:pt>
                <c:pt idx="37">
                  <c:v>1985-86</c:v>
                </c:pt>
                <c:pt idx="38">
                  <c:v>1986-87</c:v>
                </c:pt>
                <c:pt idx="39">
                  <c:v>1987-88</c:v>
                </c:pt>
                <c:pt idx="40">
                  <c:v>1988-89</c:v>
                </c:pt>
                <c:pt idx="41">
                  <c:v>1989-90</c:v>
                </c:pt>
                <c:pt idx="42">
                  <c:v>1990-91</c:v>
                </c:pt>
                <c:pt idx="43">
                  <c:v>1991-92</c:v>
                </c:pt>
                <c:pt idx="44">
                  <c:v>1992-93</c:v>
                </c:pt>
                <c:pt idx="45">
                  <c:v>1993-94</c:v>
                </c:pt>
                <c:pt idx="46">
                  <c:v>1994-95</c:v>
                </c:pt>
                <c:pt idx="47">
                  <c:v>1995-96</c:v>
                </c:pt>
                <c:pt idx="48">
                  <c:v>1996-97</c:v>
                </c:pt>
                <c:pt idx="49">
                  <c:v>1997-98</c:v>
                </c:pt>
                <c:pt idx="50">
                  <c:v>1998-99</c:v>
                </c:pt>
                <c:pt idx="51">
                  <c:v>1999-00</c:v>
                </c:pt>
                <c:pt idx="52">
                  <c:v>2000-01</c:v>
                </c:pt>
                <c:pt idx="53">
                  <c:v>2001-02</c:v>
                </c:pt>
                <c:pt idx="54">
                  <c:v>2002-03</c:v>
                </c:pt>
                <c:pt idx="55">
                  <c:v>2003-04</c:v>
                </c:pt>
                <c:pt idx="56">
                  <c:v>2004-05</c:v>
                </c:pt>
                <c:pt idx="57">
                  <c:v>2005-06</c:v>
                </c:pt>
                <c:pt idx="58">
                  <c:v>2006-07</c:v>
                </c:pt>
                <c:pt idx="59">
                  <c:v>2007-08</c:v>
                </c:pt>
                <c:pt idx="60">
                  <c:v>2008-09</c:v>
                </c:pt>
                <c:pt idx="61">
                  <c:v>2009-10</c:v>
                </c:pt>
                <c:pt idx="62">
                  <c:v>2010-11</c:v>
                </c:pt>
                <c:pt idx="63">
                  <c:v>2011-12</c:v>
                </c:pt>
                <c:pt idx="64">
                  <c:v>2012-13</c:v>
                </c:pt>
                <c:pt idx="65">
                  <c:v>2013-14</c:v>
                </c:pt>
                <c:pt idx="66">
                  <c:v>2014-15</c:v>
                </c:pt>
                <c:pt idx="67">
                  <c:v>2015-16</c:v>
                </c:pt>
                <c:pt idx="68">
                  <c:v>2016-17</c:v>
                </c:pt>
                <c:pt idx="69">
                  <c:v>2017-18</c:v>
                </c:pt>
                <c:pt idx="70">
                  <c:v>2018-19</c:v>
                </c:pt>
              </c:strCache>
            </c:strRef>
          </c:cat>
          <c:val>
            <c:numRef>
              <c:f>(Spending!$R$39:$R$90,Spending!$S$94:$S$113)</c:f>
              <c:numCache>
                <c:formatCode>"$"#,##0</c:formatCode>
                <c:ptCount val="72"/>
                <c:pt idx="0">
                  <c:v>2960229</c:v>
                </c:pt>
                <c:pt idx="1">
                  <c:v>3480920</c:v>
                </c:pt>
                <c:pt idx="2">
                  <c:v>3175672</c:v>
                </c:pt>
                <c:pt idx="3">
                  <c:v>2733306</c:v>
                </c:pt>
                <c:pt idx="4">
                  <c:v>2399963</c:v>
                </c:pt>
                <c:pt idx="5">
                  <c:v>4931912</c:v>
                </c:pt>
                <c:pt idx="6">
                  <c:v>5690923</c:v>
                </c:pt>
                <c:pt idx="7">
                  <c:v>8874297</c:v>
                </c:pt>
                <c:pt idx="8">
                  <c:v>7088963</c:v>
                </c:pt>
                <c:pt idx="9">
                  <c:v>5245400</c:v>
                </c:pt>
                <c:pt idx="10">
                  <c:v>7050177</c:v>
                </c:pt>
                <c:pt idx="11">
                  <c:v>9477273</c:v>
                </c:pt>
                <c:pt idx="12">
                  <c:v>10133062</c:v>
                </c:pt>
                <c:pt idx="13">
                  <c:v>9672520</c:v>
                </c:pt>
                <c:pt idx="14">
                  <c:v>9579322</c:v>
                </c:pt>
                <c:pt idx="15">
                  <c:v>12454032</c:v>
                </c:pt>
                <c:pt idx="16">
                  <c:v>15905426</c:v>
                </c:pt>
                <c:pt idx="17">
                  <c:v>23702503</c:v>
                </c:pt>
                <c:pt idx="18">
                  <c:v>16211841</c:v>
                </c:pt>
                <c:pt idx="19">
                  <c:v>14753801</c:v>
                </c:pt>
                <c:pt idx="20">
                  <c:v>19819552</c:v>
                </c:pt>
                <c:pt idx="21">
                  <c:v>15754654</c:v>
                </c:pt>
                <c:pt idx="22">
                  <c:v>16686553</c:v>
                </c:pt>
                <c:pt idx="23">
                  <c:v>14054059</c:v>
                </c:pt>
                <c:pt idx="24">
                  <c:v>20901688</c:v>
                </c:pt>
                <c:pt idx="25">
                  <c:v>33868759</c:v>
                </c:pt>
                <c:pt idx="26">
                  <c:v>25266920</c:v>
                </c:pt>
                <c:pt idx="27">
                  <c:v>16445584</c:v>
                </c:pt>
                <c:pt idx="28">
                  <c:v>23007087</c:v>
                </c:pt>
                <c:pt idx="29">
                  <c:v>18888903</c:v>
                </c:pt>
                <c:pt idx="30">
                  <c:v>19817709</c:v>
                </c:pt>
                <c:pt idx="31">
                  <c:v>21126501</c:v>
                </c:pt>
                <c:pt idx="32">
                  <c:v>19119512</c:v>
                </c:pt>
                <c:pt idx="33">
                  <c:v>16340077</c:v>
                </c:pt>
                <c:pt idx="34">
                  <c:v>6181409</c:v>
                </c:pt>
                <c:pt idx="35">
                  <c:v>14495661</c:v>
                </c:pt>
                <c:pt idx="36">
                  <c:v>36316166</c:v>
                </c:pt>
                <c:pt idx="37">
                  <c:v>61837950</c:v>
                </c:pt>
                <c:pt idx="38">
                  <c:v>80747737</c:v>
                </c:pt>
                <c:pt idx="39">
                  <c:v>98706599</c:v>
                </c:pt>
                <c:pt idx="40">
                  <c:v>97461899</c:v>
                </c:pt>
                <c:pt idx="41">
                  <c:v>74805898</c:v>
                </c:pt>
                <c:pt idx="42">
                  <c:v>53849517</c:v>
                </c:pt>
                <c:pt idx="43">
                  <c:v>32164175</c:v>
                </c:pt>
                <c:pt idx="44">
                  <c:v>22216953</c:v>
                </c:pt>
                <c:pt idx="45">
                  <c:v>66389353</c:v>
                </c:pt>
                <c:pt idx="46">
                  <c:v>81160241</c:v>
                </c:pt>
                <c:pt idx="47">
                  <c:v>110912250</c:v>
                </c:pt>
                <c:pt idx="48">
                  <c:v>71145844</c:v>
                </c:pt>
                <c:pt idx="49">
                  <c:v>63095080</c:v>
                </c:pt>
                <c:pt idx="50">
                  <c:v>107150316.75000001</c:v>
                </c:pt>
                <c:pt idx="51">
                  <c:v>142741578.92300001</c:v>
                </c:pt>
                <c:pt idx="52">
                  <c:v>107150317</c:v>
                </c:pt>
                <c:pt idx="53">
                  <c:v>142741579</c:v>
                </c:pt>
                <c:pt idx="54">
                  <c:v>160814498</c:v>
                </c:pt>
                <c:pt idx="55">
                  <c:v>188733490</c:v>
                </c:pt>
                <c:pt idx="56">
                  <c:v>173673353</c:v>
                </c:pt>
                <c:pt idx="57">
                  <c:v>138598107</c:v>
                </c:pt>
                <c:pt idx="58">
                  <c:v>174616065</c:v>
                </c:pt>
                <c:pt idx="59">
                  <c:v>176251409</c:v>
                </c:pt>
                <c:pt idx="60">
                  <c:v>134172855</c:v>
                </c:pt>
                <c:pt idx="61">
                  <c:v>80835378</c:v>
                </c:pt>
                <c:pt idx="62">
                  <c:v>97171268</c:v>
                </c:pt>
                <c:pt idx="63">
                  <c:v>173756309</c:v>
                </c:pt>
                <c:pt idx="64">
                  <c:v>125685550</c:v>
                </c:pt>
                <c:pt idx="65">
                  <c:v>38369451</c:v>
                </c:pt>
                <c:pt idx="66">
                  <c:v>52544557</c:v>
                </c:pt>
                <c:pt idx="67">
                  <c:v>86923711</c:v>
                </c:pt>
                <c:pt idx="68">
                  <c:v>99693705</c:v>
                </c:pt>
                <c:pt idx="69">
                  <c:v>104341482</c:v>
                </c:pt>
                <c:pt idx="70">
                  <c:v>127934366</c:v>
                </c:pt>
                <c:pt idx="71">
                  <c:v>165850689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5-42AC-B8F7-C290DCC3E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40928"/>
        <c:axId val="132943232"/>
      </c:lineChart>
      <c:catAx>
        <c:axId val="1329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School Year</a:t>
                </a:r>
              </a:p>
            </c:rich>
          </c:tx>
          <c:layout>
            <c:manualLayout>
              <c:xMode val="edge"/>
              <c:yMode val="edge"/>
              <c:x val="0.51056729699666292"/>
              <c:y val="0.944262295081967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43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294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40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1"/>
              <a:t>2017/18 Spending by School Districts: $3.16 billion</a:t>
            </a:r>
          </a:p>
        </c:rich>
      </c:tx>
      <c:layout>
        <c:manualLayout>
          <c:xMode val="edge"/>
          <c:yMode val="edge"/>
          <c:x val="0.14571746384872081"/>
          <c:y val="1.9672131147540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98553948832034"/>
          <c:y val="0.24918032786885247"/>
          <c:w val="0.47942157953281422"/>
          <c:h val="0.7065573770491803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35-47A9-A330-47BB659E40A7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35-47A9-A330-47BB659E40A7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135-47A9-A330-47BB659E40A7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135-47A9-A330-47BB659E40A7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135-47A9-A330-47BB659E40A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135-47A9-A330-47BB659E40A7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135-47A9-A330-47BB659E40A7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135-47A9-A330-47BB659E40A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135-47A9-A330-47BB659E40A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135-47A9-A330-47BB659E40A7}"/>
              </c:ext>
            </c:extLst>
          </c:dPt>
          <c:dLbls>
            <c:dLbl>
              <c:idx val="0"/>
              <c:layout>
                <c:manualLayout>
                  <c:x val="-0.17074895115307476"/>
                  <c:y val="6.594105245041090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Instruction 
42%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135-47A9-A330-47BB659E40A7}"/>
                </c:ext>
              </c:extLst>
            </c:dLbl>
            <c:dLbl>
              <c:idx val="1"/>
              <c:layout>
                <c:manualLayout>
                  <c:x val="8.4103120443277918E-2"/>
                  <c:y val="-0.10160154838709677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Special Education +
19%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135-47A9-A330-47BB659E40A7}"/>
                </c:ext>
              </c:extLst>
            </c:dLbl>
            <c:dLbl>
              <c:idx val="2"/>
              <c:layout>
                <c:manualLayout>
                  <c:x val="0.17499130941965588"/>
                  <c:y val="-7.512103225806443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Support Services
11%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135-47A9-A330-47BB659E40A7}"/>
                </c:ext>
              </c:extLst>
            </c:dLbl>
            <c:dLbl>
              <c:idx val="3"/>
              <c:layout>
                <c:manualLayout>
                  <c:x val="0.15908416447944007"/>
                  <c:y val="5.5138752688172046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Administration
10%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135-47A9-A330-47BB659E40A7}"/>
                </c:ext>
              </c:extLst>
            </c:dLbl>
            <c:dLbl>
              <c:idx val="4"/>
              <c:layout>
                <c:manualLayout>
                  <c:x val="-6.2257334499854183E-2"/>
                  <c:y val="4.577944086021505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Plant Operations
7%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135-47A9-A330-47BB659E40A7}"/>
                </c:ext>
              </c:extLst>
            </c:dLbl>
            <c:dLbl>
              <c:idx val="5"/>
              <c:layout>
                <c:manualLayout>
                  <c:x val="-3.4712510936132986E-2"/>
                  <c:y val="6.467647311827952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Transportation
4%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135-47A9-A330-47BB659E40A7}"/>
                </c:ext>
              </c:extLst>
            </c:dLbl>
            <c:dLbl>
              <c:idx val="6"/>
              <c:layout>
                <c:manualLayout>
                  <c:x val="-0.12169075532225139"/>
                  <c:y val="1.1506236559139585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Interest on Debt
1%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135-47A9-A330-47BB659E40A7}"/>
                </c:ext>
              </c:extLst>
            </c:dLbl>
            <c:dLbl>
              <c:idx val="7"/>
              <c:layout>
                <c:manualLayout>
                  <c:x val="-2.9841264280229735E-2"/>
                  <c:y val="-2.722843251150982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Facility Construction
4%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A135-47A9-A330-47BB659E40A7}"/>
                </c:ext>
              </c:extLst>
            </c:dLbl>
            <c:dLbl>
              <c:idx val="8"/>
              <c:layout>
                <c:manualLayout>
                  <c:x val="2.6304461942257218E-2"/>
                  <c:y val="-7.031896774193548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Food Service
1%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A135-47A9-A330-47BB659E40A7}"/>
                </c:ext>
              </c:extLst>
            </c:dLbl>
            <c:dLbl>
              <c:idx val="9"/>
              <c:layout>
                <c:manualLayout>
                  <c:x val="0.14510342491949352"/>
                  <c:y val="-3.5551826513489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400"/>
                      <a:t>All Other
0%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A135-47A9-A330-47BB659E40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('For Pie Charts'!$A$28:$A$34,'For Pie Charts'!$A$36,'For Pie Charts'!$A$37,'For Pie Charts'!$A$38)</c:f>
              <c:strCache>
                <c:ptCount val="10"/>
                <c:pt idx="0">
                  <c:v>Instruction </c:v>
                </c:pt>
                <c:pt idx="1">
                  <c:v>Special Education +</c:v>
                </c:pt>
                <c:pt idx="2">
                  <c:v>Support Services</c:v>
                </c:pt>
                <c:pt idx="3">
                  <c:v>Administration</c:v>
                </c:pt>
                <c:pt idx="4">
                  <c:v>Plant Operations</c:v>
                </c:pt>
                <c:pt idx="5">
                  <c:v>Transportation</c:v>
                </c:pt>
                <c:pt idx="6">
                  <c:v>Interest on Debt</c:v>
                </c:pt>
                <c:pt idx="7">
                  <c:v>Facility Construction</c:v>
                </c:pt>
                <c:pt idx="8">
                  <c:v>Food Service</c:v>
                </c:pt>
                <c:pt idx="9">
                  <c:v>All Other</c:v>
                </c:pt>
              </c:strCache>
            </c:strRef>
          </c:cat>
          <c:val>
            <c:numRef>
              <c:f>('For Pie Charts'!$Z$28:$Z$34,'For Pie Charts'!$Z$36:$Z$38)</c:f>
              <c:numCache>
                <c:formatCode>"$"#,##0</c:formatCode>
                <c:ptCount val="10"/>
                <c:pt idx="0">
                  <c:v>1316902304</c:v>
                </c:pt>
                <c:pt idx="1">
                  <c:v>595636726</c:v>
                </c:pt>
                <c:pt idx="2">
                  <c:v>336296419</c:v>
                </c:pt>
                <c:pt idx="3">
                  <c:v>316753692</c:v>
                </c:pt>
                <c:pt idx="4">
                  <c:v>243271198</c:v>
                </c:pt>
                <c:pt idx="5">
                  <c:v>134494791</c:v>
                </c:pt>
                <c:pt idx="6">
                  <c:v>44834680</c:v>
                </c:pt>
                <c:pt idx="7">
                  <c:v>127934366</c:v>
                </c:pt>
                <c:pt idx="8">
                  <c:v>33617749</c:v>
                </c:pt>
                <c:pt idx="9">
                  <c:v>8878512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35-47A9-A330-47BB659E4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2000"/>
              <a:t>Spending of NH School Districts 1988/89-2018/19
(includes debt service and facilities construction)</a:t>
            </a:r>
          </a:p>
        </c:rich>
      </c:tx>
      <c:layout>
        <c:manualLayout>
          <c:xMode val="edge"/>
          <c:yMode val="edge"/>
          <c:x val="0.17818936981482272"/>
          <c:y val="2.2189328442400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79765708200213"/>
          <c:y val="0.170767004341534"/>
          <c:w val="0.7795527156549521"/>
          <c:h val="0.6049204052098408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(Spending!$A$78:$A$88,Spending!$A$94:$A$113)</c:f>
              <c:strCache>
                <c:ptCount val="31"/>
                <c:pt idx="0">
                  <c:v>1988-89</c:v>
                </c:pt>
                <c:pt idx="1">
                  <c:v>1989-90</c:v>
                </c:pt>
                <c:pt idx="2">
                  <c:v>1990-91</c:v>
                </c:pt>
                <c:pt idx="3">
                  <c:v>1991-92</c:v>
                </c:pt>
                <c:pt idx="4">
                  <c:v>1992-93</c:v>
                </c:pt>
                <c:pt idx="5">
                  <c:v>1993-94</c:v>
                </c:pt>
                <c:pt idx="6">
                  <c:v>1994-95</c:v>
                </c:pt>
                <c:pt idx="7">
                  <c:v>1995-96</c:v>
                </c:pt>
                <c:pt idx="8">
                  <c:v>1996-97</c:v>
                </c:pt>
                <c:pt idx="9">
                  <c:v>1997-98</c:v>
                </c:pt>
                <c:pt idx="10">
                  <c:v>1998-99</c:v>
                </c:pt>
                <c:pt idx="11">
                  <c:v>1999-00</c:v>
                </c:pt>
                <c:pt idx="12">
                  <c:v>2000-01</c:v>
                </c:pt>
                <c:pt idx="13">
                  <c:v>2001-02</c:v>
                </c:pt>
                <c:pt idx="14">
                  <c:v>2002-03</c:v>
                </c:pt>
                <c:pt idx="15">
                  <c:v>2003-04</c:v>
                </c:pt>
                <c:pt idx="16">
                  <c:v>2004-05</c:v>
                </c:pt>
                <c:pt idx="17">
                  <c:v>2005-06</c:v>
                </c:pt>
                <c:pt idx="18">
                  <c:v>2006-07</c:v>
                </c:pt>
                <c:pt idx="19">
                  <c:v>2007-08</c:v>
                </c:pt>
                <c:pt idx="20">
                  <c:v>2008-09</c:v>
                </c:pt>
                <c:pt idx="21">
                  <c:v>2009-10</c:v>
                </c:pt>
                <c:pt idx="22">
                  <c:v>2010-11</c:v>
                </c:pt>
                <c:pt idx="23">
                  <c:v>2011-12</c:v>
                </c:pt>
                <c:pt idx="24">
                  <c:v>2012-13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  <c:pt idx="30">
                  <c:v>2018-19</c:v>
                </c:pt>
              </c:strCache>
            </c:strRef>
          </c:cat>
          <c:val>
            <c:numRef>
              <c:f>(Spending!$T$78:$T$88,Spending!$T$94:$T$113)</c:f>
              <c:numCache>
                <c:formatCode>"$"#,##0</c:formatCode>
                <c:ptCount val="31"/>
                <c:pt idx="0">
                  <c:v>933891844</c:v>
                </c:pt>
                <c:pt idx="1">
                  <c:v>1032359384</c:v>
                </c:pt>
                <c:pt idx="2">
                  <c:v>1083806987</c:v>
                </c:pt>
                <c:pt idx="3">
                  <c:v>1105199411</c:v>
                </c:pt>
                <c:pt idx="4">
                  <c:v>1126311985</c:v>
                </c:pt>
                <c:pt idx="5">
                  <c:v>1155814122</c:v>
                </c:pt>
                <c:pt idx="6">
                  <c:v>1250756749</c:v>
                </c:pt>
                <c:pt idx="7">
                  <c:v>1336596346</c:v>
                </c:pt>
                <c:pt idx="8">
                  <c:v>1430496517</c:v>
                </c:pt>
                <c:pt idx="9">
                  <c:v>1469010483</c:v>
                </c:pt>
                <c:pt idx="10">
                  <c:v>1526924049</c:v>
                </c:pt>
                <c:pt idx="11">
                  <c:v>1590703200</c:v>
                </c:pt>
                <c:pt idx="12">
                  <c:v>1741861624</c:v>
                </c:pt>
                <c:pt idx="13">
                  <c:v>1889076728</c:v>
                </c:pt>
                <c:pt idx="14">
                  <c:v>2065007498</c:v>
                </c:pt>
                <c:pt idx="15">
                  <c:v>2180615917</c:v>
                </c:pt>
                <c:pt idx="16">
                  <c:v>2279948200</c:v>
                </c:pt>
                <c:pt idx="17">
                  <c:v>2436991153</c:v>
                </c:pt>
                <c:pt idx="18">
                  <c:v>2553714813</c:v>
                </c:pt>
                <c:pt idx="19">
                  <c:v>2654017644</c:v>
                </c:pt>
                <c:pt idx="20">
                  <c:v>2693007539</c:v>
                </c:pt>
                <c:pt idx="21">
                  <c:v>2794537111</c:v>
                </c:pt>
                <c:pt idx="22">
                  <c:v>2934528180</c:v>
                </c:pt>
                <c:pt idx="23">
                  <c:v>2920393132</c:v>
                </c:pt>
                <c:pt idx="24">
                  <c:v>2843056521</c:v>
                </c:pt>
                <c:pt idx="25">
                  <c:v>2914583568</c:v>
                </c:pt>
                <c:pt idx="26">
                  <c:v>2996954916</c:v>
                </c:pt>
                <c:pt idx="27">
                  <c:v>3078904974</c:v>
                </c:pt>
                <c:pt idx="28">
                  <c:v>3137051209</c:v>
                </c:pt>
                <c:pt idx="29">
                  <c:v>3245851838</c:v>
                </c:pt>
                <c:pt idx="30">
                  <c:v>3358901231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C-4821-9360-2F9BBFDC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31808"/>
        <c:axId val="133108096"/>
      </c:lineChart>
      <c:catAx>
        <c:axId val="1330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000"/>
                  <a:t>School Year</a:t>
                </a:r>
              </a:p>
            </c:rich>
          </c:tx>
          <c:layout>
            <c:manualLayout>
              <c:xMode val="edge"/>
              <c:yMode val="edge"/>
              <c:x val="0.50157813025283859"/>
              <c:y val="0.91848264227032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108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108096"/>
        <c:scaling>
          <c:orientation val="minMax"/>
          <c:max val="35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000"/>
                  <a:t>Aggregate Spending</a:t>
                </a:r>
              </a:p>
            </c:rich>
          </c:tx>
          <c:layout>
            <c:manualLayout>
              <c:xMode val="edge"/>
              <c:yMode val="edge"/>
              <c:x val="1.1714589989350373E-2"/>
              <c:y val="0.3314037626628075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1808"/>
        <c:crosses val="autoZero"/>
        <c:crossBetween val="between"/>
        <c:majorUnit val="500000000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School District Revenue by Source 1997/98 through 2018/19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78681187626186"/>
          <c:y val="9.2657358273395982E-2"/>
          <c:w val="0.81434277378184206"/>
          <c:h val="0.74463371170480264"/>
        </c:manualLayout>
      </c:layout>
      <c:barChart>
        <c:barDir val="col"/>
        <c:grouping val="stacked"/>
        <c:varyColors val="0"/>
        <c:ser>
          <c:idx val="0"/>
          <c:order val="0"/>
          <c:tx>
            <c:v>Local Property Tax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'Revenue for Bar Charts'!$B$3:$W$3</c:f>
              <c:strCache>
                <c:ptCount val="22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  <c:pt idx="21">
                  <c:v>2018-19</c:v>
                </c:pt>
              </c:strCache>
            </c:strRef>
          </c:cat>
          <c:val>
            <c:numRef>
              <c:f>'Revenue for Bar Charts'!$B$5:$W$5</c:f>
              <c:numCache>
                <c:formatCode>"$"#,##0_);\("$"#,##0\)</c:formatCode>
                <c:ptCount val="22"/>
                <c:pt idx="0">
                  <c:v>1130514694</c:v>
                </c:pt>
                <c:pt idx="1">
                  <c:v>1195958846</c:v>
                </c:pt>
                <c:pt idx="2">
                  <c:v>554561140</c:v>
                </c:pt>
                <c:pt idx="3">
                  <c:v>675578576</c:v>
                </c:pt>
                <c:pt idx="4">
                  <c:v>727822386</c:v>
                </c:pt>
                <c:pt idx="5" formatCode="&quot;$&quot;#,##0">
                  <c:v>830495355</c:v>
                </c:pt>
                <c:pt idx="6" formatCode="&quot;$&quot;#,##0">
                  <c:v>953787447</c:v>
                </c:pt>
                <c:pt idx="7" formatCode="&quot;$&quot;#,##0">
                  <c:v>1156083160</c:v>
                </c:pt>
                <c:pt idx="8" formatCode="&quot;$&quot;#,##0">
                  <c:v>1215996909</c:v>
                </c:pt>
                <c:pt idx="9" formatCode="&quot;$&quot;#,##0">
                  <c:v>1330587674</c:v>
                </c:pt>
                <c:pt idx="10" formatCode="&quot;$&quot;#,##0">
                  <c:v>1376945977</c:v>
                </c:pt>
                <c:pt idx="11" formatCode="&quot;$&quot;#,##0">
                  <c:v>1483895656</c:v>
                </c:pt>
                <c:pt idx="12" formatCode="&quot;$&quot;#,##0">
                  <c:v>1482598796</c:v>
                </c:pt>
                <c:pt idx="13" formatCode="&quot;$&quot;#,##0">
                  <c:v>1521270974</c:v>
                </c:pt>
                <c:pt idx="14" formatCode="&quot;$&quot;#,##0">
                  <c:v>1571663639</c:v>
                </c:pt>
                <c:pt idx="15" formatCode="&quot;$&quot;#,##0">
                  <c:v>1616304139</c:v>
                </c:pt>
                <c:pt idx="16" formatCode="&quot;$&quot;#,##0">
                  <c:v>1691446612</c:v>
                </c:pt>
                <c:pt idx="17" formatCode="&quot;$&quot;#,##0">
                  <c:v>1739968970</c:v>
                </c:pt>
                <c:pt idx="18" formatCode="&quot;$&quot;#,##0">
                  <c:v>1789047812</c:v>
                </c:pt>
                <c:pt idx="19">
                  <c:v>1859885529</c:v>
                </c:pt>
                <c:pt idx="20">
                  <c:v>1947380582</c:v>
                </c:pt>
                <c:pt idx="21">
                  <c:v>2012730122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F-4F93-AA6E-CDA79B07B5DB}"/>
            </c:ext>
          </c:extLst>
        </c:ser>
        <c:ser>
          <c:idx val="1"/>
          <c:order val="1"/>
          <c:tx>
            <c:v>SWEPT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'Revenue for Bar Charts'!$B$3:$W$3</c:f>
              <c:strCache>
                <c:ptCount val="22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  <c:pt idx="21">
                  <c:v>2018-19</c:v>
                </c:pt>
              </c:strCache>
            </c:strRef>
          </c:cat>
          <c:val>
            <c:numRef>
              <c:f>'Revenue for Bar Charts'!$B$6:$W$6</c:f>
              <c:numCache>
                <c:formatCode>"$"#,##0_);\("$"#,##0\)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417876569</c:v>
                </c:pt>
                <c:pt idx="3">
                  <c:v>417575860</c:v>
                </c:pt>
                <c:pt idx="4">
                  <c:v>454134768</c:v>
                </c:pt>
                <c:pt idx="5">
                  <c:v>452996781.56379998</c:v>
                </c:pt>
                <c:pt idx="6">
                  <c:v>473345275</c:v>
                </c:pt>
                <c:pt idx="7">
                  <c:v>371302036</c:v>
                </c:pt>
                <c:pt idx="8">
                  <c:v>363392367</c:v>
                </c:pt>
                <c:pt idx="9">
                  <c:v>363335002</c:v>
                </c:pt>
                <c:pt idx="10">
                  <c:v>363065989</c:v>
                </c:pt>
                <c:pt idx="11">
                  <c:v>363653009</c:v>
                </c:pt>
                <c:pt idx="12">
                  <c:v>363132443</c:v>
                </c:pt>
                <c:pt idx="13">
                  <c:v>363562542</c:v>
                </c:pt>
                <c:pt idx="14">
                  <c:v>363086707</c:v>
                </c:pt>
                <c:pt idx="15">
                  <c:v>363639896</c:v>
                </c:pt>
                <c:pt idx="16">
                  <c:v>363563724</c:v>
                </c:pt>
                <c:pt idx="17">
                  <c:v>363318165</c:v>
                </c:pt>
                <c:pt idx="18">
                  <c:v>363109425</c:v>
                </c:pt>
                <c:pt idx="19">
                  <c:v>363398238</c:v>
                </c:pt>
                <c:pt idx="20">
                  <c:v>363398238</c:v>
                </c:pt>
                <c:pt idx="21">
                  <c:v>363398238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F-4F93-AA6E-CDA79B07B5DB}"/>
            </c:ext>
          </c:extLst>
        </c:ser>
        <c:ser>
          <c:idx val="2"/>
          <c:order val="2"/>
          <c:tx>
            <c:v>Foundation/Adequacy Aid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'Revenue for Bar Charts'!$B$3:$W$3</c:f>
              <c:strCache>
                <c:ptCount val="22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  <c:pt idx="21">
                  <c:v>2018-19</c:v>
                </c:pt>
              </c:strCache>
            </c:strRef>
          </c:cat>
          <c:val>
            <c:numRef>
              <c:f>'Revenue for Bar Charts'!$B$7:$W$7</c:f>
              <c:numCache>
                <c:formatCode>"$"#,##0_);\("$"#,##0\)</c:formatCode>
                <c:ptCount val="22"/>
                <c:pt idx="0">
                  <c:v>70626683</c:v>
                </c:pt>
                <c:pt idx="1">
                  <c:v>68804546</c:v>
                </c:pt>
                <c:pt idx="2">
                  <c:v>406822379</c:v>
                </c:pt>
                <c:pt idx="3">
                  <c:v>406437649</c:v>
                </c:pt>
                <c:pt idx="4">
                  <c:v>425833291</c:v>
                </c:pt>
                <c:pt idx="5">
                  <c:v>443160939.43620002</c:v>
                </c:pt>
                <c:pt idx="6">
                  <c:v>421126234</c:v>
                </c:pt>
                <c:pt idx="7">
                  <c:v>431626064</c:v>
                </c:pt>
                <c:pt idx="8">
                  <c:v>471523216</c:v>
                </c:pt>
                <c:pt idx="9">
                  <c:v>471982197</c:v>
                </c:pt>
                <c:pt idx="10">
                  <c:v>526579116</c:v>
                </c:pt>
                <c:pt idx="11">
                  <c:v>526521076</c:v>
                </c:pt>
                <c:pt idx="12">
                  <c:v>576718885</c:v>
                </c:pt>
                <c:pt idx="13">
                  <c:v>577269923</c:v>
                </c:pt>
                <c:pt idx="14">
                  <c:v>577071526</c:v>
                </c:pt>
                <c:pt idx="15">
                  <c:v>577298892</c:v>
                </c:pt>
                <c:pt idx="16">
                  <c:v>565482161</c:v>
                </c:pt>
                <c:pt idx="17">
                  <c:v>561012111</c:v>
                </c:pt>
                <c:pt idx="18">
                  <c:v>569259030</c:v>
                </c:pt>
                <c:pt idx="19">
                  <c:v>563092784</c:v>
                </c:pt>
                <c:pt idx="20">
                  <c:v>560609535</c:v>
                </c:pt>
                <c:pt idx="21">
                  <c:v>551452784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F-4F93-AA6E-CDA79B07B5DB}"/>
            </c:ext>
          </c:extLst>
        </c:ser>
        <c:ser>
          <c:idx val="3"/>
          <c:order val="3"/>
          <c:tx>
            <c:v>Other State Aid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'Revenue for Bar Charts'!$B$3:$W$3</c:f>
              <c:strCache>
                <c:ptCount val="22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  <c:pt idx="21">
                  <c:v>2018-19</c:v>
                </c:pt>
              </c:strCache>
            </c:strRef>
          </c:cat>
          <c:val>
            <c:numRef>
              <c:f>'Revenue for Bar Charts'!$B$8:$W$8</c:f>
              <c:numCache>
                <c:formatCode>"$"#,##0_);\("$"#,##0\)</c:formatCode>
                <c:ptCount val="22"/>
                <c:pt idx="0">
                  <c:v>56980813</c:v>
                </c:pt>
                <c:pt idx="1">
                  <c:v>58897415</c:v>
                </c:pt>
                <c:pt idx="2">
                  <c:v>45297902</c:v>
                </c:pt>
                <c:pt idx="3">
                  <c:v>53845952</c:v>
                </c:pt>
                <c:pt idx="4">
                  <c:v>57159671</c:v>
                </c:pt>
                <c:pt idx="5" formatCode="&quot;$&quot;#,##0">
                  <c:v>54456970</c:v>
                </c:pt>
                <c:pt idx="6" formatCode="&quot;$&quot;#,##0">
                  <c:v>66956265</c:v>
                </c:pt>
                <c:pt idx="7" formatCode="&quot;$&quot;#,##0">
                  <c:v>68197536</c:v>
                </c:pt>
                <c:pt idx="8" formatCode="&quot;$&quot;#,##0">
                  <c:v>79507560</c:v>
                </c:pt>
                <c:pt idx="9" formatCode="&quot;$&quot;#,##0">
                  <c:v>89732904</c:v>
                </c:pt>
                <c:pt idx="10" formatCode="&quot;$&quot;#,##0">
                  <c:v>96997662</c:v>
                </c:pt>
                <c:pt idx="11" formatCode="&quot;$&quot;#,##0">
                  <c:v>89967360</c:v>
                </c:pt>
                <c:pt idx="12" formatCode="&quot;$&quot;#,##0">
                  <c:v>93751329</c:v>
                </c:pt>
                <c:pt idx="13" formatCode="&quot;$&quot;#,##0">
                  <c:v>96568770</c:v>
                </c:pt>
                <c:pt idx="14" formatCode="&quot;$&quot;#,##0">
                  <c:v>89921344</c:v>
                </c:pt>
                <c:pt idx="15" formatCode="&quot;$&quot;#,##0">
                  <c:v>79300016</c:v>
                </c:pt>
                <c:pt idx="16" formatCode="&quot;$&quot;#,##0">
                  <c:v>76057438</c:v>
                </c:pt>
                <c:pt idx="17" formatCode="&quot;$&quot;#,##0">
                  <c:v>76043832</c:v>
                </c:pt>
                <c:pt idx="18" formatCode="&quot;$&quot;#,##0">
                  <c:v>72779290</c:v>
                </c:pt>
                <c:pt idx="19">
                  <c:v>80818756</c:v>
                </c:pt>
                <c:pt idx="20">
                  <c:v>76771701</c:v>
                </c:pt>
                <c:pt idx="21">
                  <c:v>94309413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EF-4F93-AA6E-CDA79B07B5DB}"/>
            </c:ext>
          </c:extLst>
        </c:ser>
        <c:ser>
          <c:idx val="4"/>
          <c:order val="4"/>
          <c:tx>
            <c:v>Federal Aid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'Revenue for Bar Charts'!$B$3:$W$3</c:f>
              <c:strCache>
                <c:ptCount val="22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  <c:pt idx="21">
                  <c:v>2018-19</c:v>
                </c:pt>
              </c:strCache>
            </c:strRef>
          </c:cat>
          <c:val>
            <c:numRef>
              <c:f>'Revenue for Bar Charts'!$B$9:$W$9</c:f>
              <c:numCache>
                <c:formatCode>"$"#,##0_);\("$"#,##0\)</c:formatCode>
                <c:ptCount val="22"/>
                <c:pt idx="0">
                  <c:v>51940421</c:v>
                </c:pt>
                <c:pt idx="1">
                  <c:v>58224175</c:v>
                </c:pt>
                <c:pt idx="2">
                  <c:v>70510329</c:v>
                </c:pt>
                <c:pt idx="3">
                  <c:v>77364803</c:v>
                </c:pt>
                <c:pt idx="4">
                  <c:v>85931199</c:v>
                </c:pt>
                <c:pt idx="5" formatCode="&quot;$&quot;#,##0">
                  <c:v>101903517</c:v>
                </c:pt>
                <c:pt idx="6" formatCode="&quot;$&quot;#,##0">
                  <c:v>120502289</c:v>
                </c:pt>
                <c:pt idx="7" formatCode="&quot;$&quot;#,##0">
                  <c:v>126742545</c:v>
                </c:pt>
                <c:pt idx="8" formatCode="&quot;$&quot;#,##0">
                  <c:v>130584760</c:v>
                </c:pt>
                <c:pt idx="9" formatCode="&quot;$&quot;#,##0">
                  <c:v>137549092</c:v>
                </c:pt>
                <c:pt idx="10" formatCode="&quot;$&quot;#,##0">
                  <c:v>136515834</c:v>
                </c:pt>
                <c:pt idx="11" formatCode="&quot;$&quot;#,##0">
                  <c:v>147318280</c:v>
                </c:pt>
                <c:pt idx="12" formatCode="&quot;$&quot;#,##0">
                  <c:v>191213006</c:v>
                </c:pt>
                <c:pt idx="13" formatCode="&quot;$&quot;#,##0">
                  <c:v>185345696</c:v>
                </c:pt>
                <c:pt idx="14" formatCode="&quot;$&quot;#,##0">
                  <c:v>188426230</c:v>
                </c:pt>
                <c:pt idx="15" formatCode="&quot;$&quot;#,##0">
                  <c:v>164398409</c:v>
                </c:pt>
                <c:pt idx="16" formatCode="&quot;$&quot;#,##0">
                  <c:v>162111343</c:v>
                </c:pt>
                <c:pt idx="17" formatCode="&quot;$&quot;#,##0">
                  <c:v>166235009</c:v>
                </c:pt>
                <c:pt idx="18" formatCode="&quot;$&quot;#,##0">
                  <c:v>173966151</c:v>
                </c:pt>
                <c:pt idx="19">
                  <c:v>173816060</c:v>
                </c:pt>
                <c:pt idx="20">
                  <c:v>169194955</c:v>
                </c:pt>
                <c:pt idx="21">
                  <c:v>165688054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EF-4F93-AA6E-CDA79B07B5DB}"/>
            </c:ext>
          </c:extLst>
        </c:ser>
        <c:ser>
          <c:idx val="5"/>
          <c:order val="5"/>
          <c:tx>
            <c:v>Tuition/Other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'Revenue for Bar Charts'!$B$3:$W$3</c:f>
              <c:strCache>
                <c:ptCount val="22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2005-06</c:v>
                </c:pt>
                <c:pt idx="9">
                  <c:v>2006-07</c:v>
                </c:pt>
                <c:pt idx="10">
                  <c:v>2007-08</c:v>
                </c:pt>
                <c:pt idx="11">
                  <c:v>2008-09</c:v>
                </c:pt>
                <c:pt idx="12">
                  <c:v>2009-10</c:v>
                </c:pt>
                <c:pt idx="13">
                  <c:v>2010-11</c:v>
                </c:pt>
                <c:pt idx="14">
                  <c:v>2011-12</c:v>
                </c:pt>
                <c:pt idx="15">
                  <c:v>2012-13</c:v>
                </c:pt>
                <c:pt idx="16">
                  <c:v>2013-14</c:v>
                </c:pt>
                <c:pt idx="17">
                  <c:v>2014-15</c:v>
                </c:pt>
                <c:pt idx="18">
                  <c:v>2015-16</c:v>
                </c:pt>
                <c:pt idx="19">
                  <c:v>2016-17</c:v>
                </c:pt>
                <c:pt idx="20">
                  <c:v>2017-18</c:v>
                </c:pt>
                <c:pt idx="21">
                  <c:v>2018-19</c:v>
                </c:pt>
              </c:strCache>
            </c:strRef>
          </c:cat>
          <c:val>
            <c:numRef>
              <c:f>'Revenue for Bar Charts'!$B$10:$W$10</c:f>
              <c:numCache>
                <c:formatCode>"$"#,##0_);\("$"#,##0\)</c:formatCode>
                <c:ptCount val="22"/>
                <c:pt idx="0">
                  <c:v>109937980</c:v>
                </c:pt>
                <c:pt idx="1">
                  <c:v>114671423</c:v>
                </c:pt>
                <c:pt idx="2">
                  <c:v>91773326</c:v>
                </c:pt>
                <c:pt idx="3">
                  <c:v>102024232</c:v>
                </c:pt>
                <c:pt idx="4">
                  <c:v>93222727</c:v>
                </c:pt>
                <c:pt idx="5" formatCode="&quot;$&quot;#,##0">
                  <c:v>28851103</c:v>
                </c:pt>
                <c:pt idx="6" formatCode="&quot;$&quot;#,##0">
                  <c:v>39764459</c:v>
                </c:pt>
                <c:pt idx="7" formatCode="&quot;$&quot;#,##0">
                  <c:v>38563474</c:v>
                </c:pt>
                <c:pt idx="8" formatCode="&quot;$&quot;#,##0">
                  <c:v>54207771</c:v>
                </c:pt>
                <c:pt idx="9" formatCode="&quot;$&quot;#,##0">
                  <c:v>53325991</c:v>
                </c:pt>
                <c:pt idx="10" formatCode="&quot;$&quot;#,##0">
                  <c:v>46595395</c:v>
                </c:pt>
                <c:pt idx="11" formatCode="&quot;$&quot;#,##0">
                  <c:v>39169871</c:v>
                </c:pt>
                <c:pt idx="12" formatCode="&quot;$&quot;#,##0">
                  <c:v>33594615</c:v>
                </c:pt>
                <c:pt idx="13" formatCode="&quot;$&quot;#,##0">
                  <c:v>39845149</c:v>
                </c:pt>
                <c:pt idx="14" formatCode="&quot;$&quot;#,##0">
                  <c:v>35850964</c:v>
                </c:pt>
                <c:pt idx="15" formatCode="&quot;$&quot;#,##0">
                  <c:v>39821274</c:v>
                </c:pt>
                <c:pt idx="16" formatCode="&quot;$&quot;#,##0">
                  <c:v>70571685</c:v>
                </c:pt>
                <c:pt idx="17" formatCode="&quot;$&quot;#,##0">
                  <c:v>58097216</c:v>
                </c:pt>
                <c:pt idx="18" formatCode="&quot;$&quot;#,##0">
                  <c:v>72558060</c:v>
                </c:pt>
                <c:pt idx="19">
                  <c:v>55363181</c:v>
                </c:pt>
                <c:pt idx="20">
                  <c:v>48756529</c:v>
                </c:pt>
                <c:pt idx="21">
                  <c:v>51904799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EF-4F93-AA6E-CDA79B07B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39604736"/>
        <c:axId val="139606656"/>
      </c:barChart>
      <c:catAx>
        <c:axId val="13960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9606656"/>
        <c:crosses val="autoZero"/>
        <c:auto val="1"/>
        <c:lblAlgn val="ctr"/>
        <c:lblOffset val="100"/>
        <c:noMultiLvlLbl val="0"/>
      </c:catAx>
      <c:valAx>
        <c:axId val="139606656"/>
        <c:scaling>
          <c:orientation val="minMax"/>
        </c:scaling>
        <c:delete val="0"/>
        <c:axPos val="l"/>
        <c:majorGridlines/>
        <c:numFmt formatCode="&quot;$&quot;#,##0_);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96047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20108228085597E-2"/>
                <c:y val="0.26147715447470893"/>
              </c:manualLayout>
            </c:layout>
            <c:tx>
              <c:rich>
                <a:bodyPr/>
                <a:lstStyle/>
                <a:p>
                  <a:pPr>
                    <a:defRPr sz="1600"/>
                  </a:pPr>
                  <a:r>
                    <a:rPr lang="en-US" sz="1600"/>
                    <a:t>Revenue of School Districts ($Millions)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15056879571365595"/>
          <c:y val="8.5123691166703139E-2"/>
          <c:w val="0.25831607548801561"/>
          <c:h val="0.3151649204922253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Spending of NH School Districts 1915/16 - 2018/19</a:t>
            </a:r>
          </a:p>
        </c:rich>
      </c:tx>
      <c:layout>
        <c:manualLayout>
          <c:xMode val="edge"/>
          <c:yMode val="edge"/>
          <c:x val="0.24421052631578946"/>
          <c:y val="2.0260492040520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26315789473684"/>
          <c:y val="0.13601575441574593"/>
          <c:w val="0.75368421052631573"/>
          <c:h val="0.659932068951380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(Spending!$A$5:$A$88,Spending!$A$94:$A$112)</c:f>
              <c:strCache>
                <c:ptCount val="103"/>
                <c:pt idx="0">
                  <c:v>1915-16</c:v>
                </c:pt>
                <c:pt idx="1">
                  <c:v>1916-17</c:v>
                </c:pt>
                <c:pt idx="2">
                  <c:v>1917-18</c:v>
                </c:pt>
                <c:pt idx="3">
                  <c:v>1918-19</c:v>
                </c:pt>
                <c:pt idx="4">
                  <c:v>1919-20</c:v>
                </c:pt>
                <c:pt idx="5">
                  <c:v>1920-21</c:v>
                </c:pt>
                <c:pt idx="6">
                  <c:v>1921-22</c:v>
                </c:pt>
                <c:pt idx="7">
                  <c:v>1922-23</c:v>
                </c:pt>
                <c:pt idx="8">
                  <c:v>1923-24</c:v>
                </c:pt>
                <c:pt idx="9">
                  <c:v>1924-25</c:v>
                </c:pt>
                <c:pt idx="10">
                  <c:v>1925-26</c:v>
                </c:pt>
                <c:pt idx="11">
                  <c:v>1926-27</c:v>
                </c:pt>
                <c:pt idx="12">
                  <c:v>1927-28</c:v>
                </c:pt>
                <c:pt idx="13">
                  <c:v>1928-29</c:v>
                </c:pt>
                <c:pt idx="14">
                  <c:v>1929-30</c:v>
                </c:pt>
                <c:pt idx="15">
                  <c:v>1930-31</c:v>
                </c:pt>
                <c:pt idx="16">
                  <c:v>1931-32</c:v>
                </c:pt>
                <c:pt idx="17">
                  <c:v>1932-33</c:v>
                </c:pt>
                <c:pt idx="18">
                  <c:v>1933-34</c:v>
                </c:pt>
                <c:pt idx="19">
                  <c:v>1934-35</c:v>
                </c:pt>
                <c:pt idx="20">
                  <c:v>1935-36</c:v>
                </c:pt>
                <c:pt idx="21">
                  <c:v>1936-37</c:v>
                </c:pt>
                <c:pt idx="22">
                  <c:v>1937-38</c:v>
                </c:pt>
                <c:pt idx="23">
                  <c:v>1938-39</c:v>
                </c:pt>
                <c:pt idx="24">
                  <c:v>1939-40</c:v>
                </c:pt>
                <c:pt idx="25">
                  <c:v>1940-41</c:v>
                </c:pt>
                <c:pt idx="26">
                  <c:v>1941-42</c:v>
                </c:pt>
                <c:pt idx="27">
                  <c:v>1942-43</c:v>
                </c:pt>
                <c:pt idx="28">
                  <c:v>1943-44</c:v>
                </c:pt>
                <c:pt idx="29">
                  <c:v>1944-45</c:v>
                </c:pt>
                <c:pt idx="30">
                  <c:v>1945-46</c:v>
                </c:pt>
                <c:pt idx="31">
                  <c:v>1946-47</c:v>
                </c:pt>
                <c:pt idx="32">
                  <c:v>1947-48</c:v>
                </c:pt>
                <c:pt idx="33">
                  <c:v>1948-49</c:v>
                </c:pt>
                <c:pt idx="34">
                  <c:v>1949-50</c:v>
                </c:pt>
                <c:pt idx="35">
                  <c:v>1950-51</c:v>
                </c:pt>
                <c:pt idx="36">
                  <c:v>1951-52</c:v>
                </c:pt>
                <c:pt idx="37">
                  <c:v>1952-53</c:v>
                </c:pt>
                <c:pt idx="38">
                  <c:v>1953-54</c:v>
                </c:pt>
                <c:pt idx="39">
                  <c:v>1954-55</c:v>
                </c:pt>
                <c:pt idx="40">
                  <c:v>1955-56</c:v>
                </c:pt>
                <c:pt idx="41">
                  <c:v>1956-57</c:v>
                </c:pt>
                <c:pt idx="42">
                  <c:v>1957-58</c:v>
                </c:pt>
                <c:pt idx="43">
                  <c:v>1958-59</c:v>
                </c:pt>
                <c:pt idx="44">
                  <c:v>1959-60</c:v>
                </c:pt>
                <c:pt idx="45">
                  <c:v>1960-61</c:v>
                </c:pt>
                <c:pt idx="46">
                  <c:v>1961-62</c:v>
                </c:pt>
                <c:pt idx="47">
                  <c:v>1962-63</c:v>
                </c:pt>
                <c:pt idx="48">
                  <c:v>1963-64</c:v>
                </c:pt>
                <c:pt idx="49">
                  <c:v>1964-65</c:v>
                </c:pt>
                <c:pt idx="50">
                  <c:v>1965-66</c:v>
                </c:pt>
                <c:pt idx="51">
                  <c:v>1966-67</c:v>
                </c:pt>
                <c:pt idx="52">
                  <c:v>1967-68</c:v>
                </c:pt>
                <c:pt idx="53">
                  <c:v>1968-69</c:v>
                </c:pt>
                <c:pt idx="54">
                  <c:v>1969-70</c:v>
                </c:pt>
                <c:pt idx="55">
                  <c:v>1970-71</c:v>
                </c:pt>
                <c:pt idx="56">
                  <c:v>1971-72</c:v>
                </c:pt>
                <c:pt idx="57">
                  <c:v>1972-73</c:v>
                </c:pt>
                <c:pt idx="58">
                  <c:v>1973-74</c:v>
                </c:pt>
                <c:pt idx="59">
                  <c:v>1974-75</c:v>
                </c:pt>
                <c:pt idx="60">
                  <c:v>1975-76</c:v>
                </c:pt>
                <c:pt idx="61">
                  <c:v>1976-77</c:v>
                </c:pt>
                <c:pt idx="62">
                  <c:v>1977-78</c:v>
                </c:pt>
                <c:pt idx="63">
                  <c:v>1978-79</c:v>
                </c:pt>
                <c:pt idx="64">
                  <c:v>1979-80</c:v>
                </c:pt>
                <c:pt idx="65">
                  <c:v>1980-81</c:v>
                </c:pt>
                <c:pt idx="66">
                  <c:v>1981-82</c:v>
                </c:pt>
                <c:pt idx="67">
                  <c:v>1982-83</c:v>
                </c:pt>
                <c:pt idx="68">
                  <c:v>1983-84</c:v>
                </c:pt>
                <c:pt idx="69">
                  <c:v>1984-85</c:v>
                </c:pt>
                <c:pt idx="70">
                  <c:v>1985-86</c:v>
                </c:pt>
                <c:pt idx="71">
                  <c:v>1986-87</c:v>
                </c:pt>
                <c:pt idx="72">
                  <c:v>1987-88</c:v>
                </c:pt>
                <c:pt idx="73">
                  <c:v>1988-89</c:v>
                </c:pt>
                <c:pt idx="74">
                  <c:v>1989-90</c:v>
                </c:pt>
                <c:pt idx="75">
                  <c:v>1990-91</c:v>
                </c:pt>
                <c:pt idx="76">
                  <c:v>1991-92</c:v>
                </c:pt>
                <c:pt idx="77">
                  <c:v>1992-93</c:v>
                </c:pt>
                <c:pt idx="78">
                  <c:v>1993-94</c:v>
                </c:pt>
                <c:pt idx="79">
                  <c:v>1994-95</c:v>
                </c:pt>
                <c:pt idx="80">
                  <c:v>1995-96</c:v>
                </c:pt>
                <c:pt idx="81">
                  <c:v>1996-97</c:v>
                </c:pt>
                <c:pt idx="82">
                  <c:v>1997-98</c:v>
                </c:pt>
                <c:pt idx="83">
                  <c:v>1998-99</c:v>
                </c:pt>
                <c:pt idx="84">
                  <c:v>1999-00</c:v>
                </c:pt>
                <c:pt idx="85">
                  <c:v>2000-01</c:v>
                </c:pt>
                <c:pt idx="86">
                  <c:v>2001-02</c:v>
                </c:pt>
                <c:pt idx="87">
                  <c:v>2002-03</c:v>
                </c:pt>
                <c:pt idx="88">
                  <c:v>2003-04</c:v>
                </c:pt>
                <c:pt idx="89">
                  <c:v>2004-05</c:v>
                </c:pt>
                <c:pt idx="90">
                  <c:v>2005-06</c:v>
                </c:pt>
                <c:pt idx="91">
                  <c:v>2006-07</c:v>
                </c:pt>
                <c:pt idx="92">
                  <c:v>2007-08</c:v>
                </c:pt>
                <c:pt idx="93">
                  <c:v>2008-09</c:v>
                </c:pt>
                <c:pt idx="94">
                  <c:v>2009-10</c:v>
                </c:pt>
                <c:pt idx="95">
                  <c:v>2010-11</c:v>
                </c:pt>
                <c:pt idx="96">
                  <c:v>2011-12</c:v>
                </c:pt>
                <c:pt idx="97">
                  <c:v>2012-13</c:v>
                </c:pt>
                <c:pt idx="98">
                  <c:v>2013-14</c:v>
                </c:pt>
                <c:pt idx="99">
                  <c:v>2014-15</c:v>
                </c:pt>
                <c:pt idx="100">
                  <c:v>2015-16</c:v>
                </c:pt>
                <c:pt idx="101">
                  <c:v>2016-17</c:v>
                </c:pt>
                <c:pt idx="102">
                  <c:v>2017-18</c:v>
                </c:pt>
              </c:strCache>
            </c:strRef>
          </c:cat>
          <c:val>
            <c:numRef>
              <c:f>(Spending!$T$5:$T$88,Spending!$T$94:$T$112)</c:f>
              <c:numCache>
                <c:formatCode>"$"#,##0</c:formatCode>
                <c:ptCount val="103"/>
                <c:pt idx="0">
                  <c:v>2056155</c:v>
                </c:pt>
                <c:pt idx="1">
                  <c:v>0</c:v>
                </c:pt>
                <c:pt idx="2">
                  <c:v>2951989</c:v>
                </c:pt>
                <c:pt idx="3">
                  <c:v>0</c:v>
                </c:pt>
                <c:pt idx="4">
                  <c:v>4131001</c:v>
                </c:pt>
                <c:pt idx="5">
                  <c:v>4787256</c:v>
                </c:pt>
                <c:pt idx="6">
                  <c:v>5189141</c:v>
                </c:pt>
                <c:pt idx="7">
                  <c:v>5538122</c:v>
                </c:pt>
                <c:pt idx="8">
                  <c:v>6332514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7465639</c:v>
                </c:pt>
                <c:pt idx="22">
                  <c:v>7568578</c:v>
                </c:pt>
                <c:pt idx="23">
                  <c:v>8547642</c:v>
                </c:pt>
                <c:pt idx="24">
                  <c:v>8701693</c:v>
                </c:pt>
                <c:pt idx="25">
                  <c:v>7735295</c:v>
                </c:pt>
                <c:pt idx="26">
                  <c:v>7856373</c:v>
                </c:pt>
                <c:pt idx="27">
                  <c:v>7650634</c:v>
                </c:pt>
                <c:pt idx="28">
                  <c:v>7706051</c:v>
                </c:pt>
                <c:pt idx="29">
                  <c:v>0</c:v>
                </c:pt>
                <c:pt idx="30">
                  <c:v>8701376</c:v>
                </c:pt>
                <c:pt idx="31">
                  <c:v>0</c:v>
                </c:pt>
                <c:pt idx="32">
                  <c:v>13079399</c:v>
                </c:pt>
                <c:pt idx="33">
                  <c:v>15680934</c:v>
                </c:pt>
                <c:pt idx="34">
                  <c:v>17360483</c:v>
                </c:pt>
                <c:pt idx="35">
                  <c:v>19191773</c:v>
                </c:pt>
                <c:pt idx="36">
                  <c:v>20321185</c:v>
                </c:pt>
                <c:pt idx="37">
                  <c:v>21225990</c:v>
                </c:pt>
                <c:pt idx="38">
                  <c:v>22215851</c:v>
                </c:pt>
                <c:pt idx="39">
                  <c:v>26356265</c:v>
                </c:pt>
                <c:pt idx="40">
                  <c:v>29683941</c:v>
                </c:pt>
                <c:pt idx="41">
                  <c:v>35263211</c:v>
                </c:pt>
                <c:pt idx="42">
                  <c:v>36638419</c:v>
                </c:pt>
                <c:pt idx="43">
                  <c:v>38109028</c:v>
                </c:pt>
                <c:pt idx="44">
                  <c:v>42909345</c:v>
                </c:pt>
                <c:pt idx="45">
                  <c:v>48862411</c:v>
                </c:pt>
                <c:pt idx="46">
                  <c:v>52715812</c:v>
                </c:pt>
                <c:pt idx="47">
                  <c:v>57587302</c:v>
                </c:pt>
                <c:pt idx="48">
                  <c:v>62547819</c:v>
                </c:pt>
                <c:pt idx="49">
                  <c:v>70925516</c:v>
                </c:pt>
                <c:pt idx="50">
                  <c:v>81050981</c:v>
                </c:pt>
                <c:pt idx="51">
                  <c:v>98963971</c:v>
                </c:pt>
                <c:pt idx="52">
                  <c:v>100555878</c:v>
                </c:pt>
                <c:pt idx="53">
                  <c:v>110741686</c:v>
                </c:pt>
                <c:pt idx="54">
                  <c:v>133553112</c:v>
                </c:pt>
                <c:pt idx="55">
                  <c:v>145478021</c:v>
                </c:pt>
                <c:pt idx="56">
                  <c:v>159988448</c:v>
                </c:pt>
                <c:pt idx="57">
                  <c:v>172878428</c:v>
                </c:pt>
                <c:pt idx="58">
                  <c:v>195924154</c:v>
                </c:pt>
                <c:pt idx="59">
                  <c:v>233839381</c:v>
                </c:pt>
                <c:pt idx="60">
                  <c:v>244754576</c:v>
                </c:pt>
                <c:pt idx="61">
                  <c:v>253402233</c:v>
                </c:pt>
                <c:pt idx="62">
                  <c:v>278195783</c:v>
                </c:pt>
                <c:pt idx="63">
                  <c:v>305002520</c:v>
                </c:pt>
                <c:pt idx="64">
                  <c:v>346493513</c:v>
                </c:pt>
                <c:pt idx="65">
                  <c:v>389311507</c:v>
                </c:pt>
                <c:pt idx="66">
                  <c:v>423445104</c:v>
                </c:pt>
                <c:pt idx="67">
                  <c:v>451032020</c:v>
                </c:pt>
                <c:pt idx="68">
                  <c:v>469950836</c:v>
                </c:pt>
                <c:pt idx="69">
                  <c:v>520942404</c:v>
                </c:pt>
                <c:pt idx="70">
                  <c:v>594041149</c:v>
                </c:pt>
                <c:pt idx="71">
                  <c:v>694388113</c:v>
                </c:pt>
                <c:pt idx="72">
                  <c:v>810047648</c:v>
                </c:pt>
                <c:pt idx="73">
                  <c:v>933891844</c:v>
                </c:pt>
                <c:pt idx="74">
                  <c:v>1032359384</c:v>
                </c:pt>
                <c:pt idx="75">
                  <c:v>1083806987</c:v>
                </c:pt>
                <c:pt idx="76">
                  <c:v>1105199411</c:v>
                </c:pt>
                <c:pt idx="77">
                  <c:v>1126311985</c:v>
                </c:pt>
                <c:pt idx="78">
                  <c:v>1155814122</c:v>
                </c:pt>
                <c:pt idx="79">
                  <c:v>1250756749</c:v>
                </c:pt>
                <c:pt idx="80">
                  <c:v>1336596346</c:v>
                </c:pt>
                <c:pt idx="81">
                  <c:v>1430496517</c:v>
                </c:pt>
                <c:pt idx="82">
                  <c:v>1469010483</c:v>
                </c:pt>
                <c:pt idx="83">
                  <c:v>1526924049</c:v>
                </c:pt>
                <c:pt idx="84">
                  <c:v>1590703200</c:v>
                </c:pt>
                <c:pt idx="85">
                  <c:v>1741861624</c:v>
                </c:pt>
                <c:pt idx="86">
                  <c:v>1889076728</c:v>
                </c:pt>
                <c:pt idx="87">
                  <c:v>2065007498</c:v>
                </c:pt>
                <c:pt idx="88">
                  <c:v>2180615917</c:v>
                </c:pt>
                <c:pt idx="89">
                  <c:v>2279948200</c:v>
                </c:pt>
                <c:pt idx="90">
                  <c:v>2436991153</c:v>
                </c:pt>
                <c:pt idx="91">
                  <c:v>2553714813</c:v>
                </c:pt>
                <c:pt idx="92">
                  <c:v>2654017644</c:v>
                </c:pt>
                <c:pt idx="93">
                  <c:v>2693007539</c:v>
                </c:pt>
                <c:pt idx="94">
                  <c:v>2794537111</c:v>
                </c:pt>
                <c:pt idx="95">
                  <c:v>2934528180</c:v>
                </c:pt>
                <c:pt idx="96">
                  <c:v>2920393132</c:v>
                </c:pt>
                <c:pt idx="97">
                  <c:v>2843056521</c:v>
                </c:pt>
                <c:pt idx="98">
                  <c:v>2914583568</c:v>
                </c:pt>
                <c:pt idx="99">
                  <c:v>2996954916</c:v>
                </c:pt>
                <c:pt idx="100">
                  <c:v>3078904974</c:v>
                </c:pt>
                <c:pt idx="101">
                  <c:v>3137051209</c:v>
                </c:pt>
                <c:pt idx="102">
                  <c:v>3245851838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C-472E-BE7F-6FACBF6D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9856"/>
        <c:axId val="111296512"/>
      </c:lineChart>
      <c:catAx>
        <c:axId val="11128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School Year</a:t>
                </a:r>
              </a:p>
            </c:rich>
          </c:tx>
          <c:layout>
            <c:manualLayout>
              <c:xMode val="edge"/>
              <c:yMode val="edge"/>
              <c:x val="0.52105263157894732"/>
              <c:y val="0.95369030390738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9651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11296512"/>
        <c:scaling>
          <c:logBase val="10"/>
          <c:orientation val="minMax"/>
          <c:max val="10000000000"/>
          <c:min val="1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Spending of NH School Districts
(Logarithmic Plot)</a:t>
                </a:r>
              </a:p>
            </c:rich>
          </c:tx>
          <c:layout>
            <c:manualLayout>
              <c:xMode val="edge"/>
              <c:yMode val="edge"/>
              <c:x val="1.7894736842105262E-2"/>
              <c:y val="0.23733719247467439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89856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Elementary &amp; Secondary School Spending as
Percent of the Overall Economy 1972-2019</a:t>
            </a:r>
          </a:p>
        </c:rich>
      </c:tx>
      <c:layout>
        <c:manualLayout>
          <c:xMode val="edge"/>
          <c:yMode val="edge"/>
          <c:x val="0.25806451612903225"/>
          <c:y val="2.046783625730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88987764182426E-2"/>
          <c:y val="0.14035087719298245"/>
          <c:w val="0.90878754171301446"/>
          <c:h val="0.6330409356725146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(Spending!$A$61:$A$88,Spending!$A$94:$A$111)</c:f>
              <c:strCache>
                <c:ptCount val="46"/>
                <c:pt idx="0">
                  <c:v>1971-72</c:v>
                </c:pt>
                <c:pt idx="1">
                  <c:v>1972-73</c:v>
                </c:pt>
                <c:pt idx="2">
                  <c:v>1973-74</c:v>
                </c:pt>
                <c:pt idx="3">
                  <c:v>1974-75</c:v>
                </c:pt>
                <c:pt idx="4">
                  <c:v>1975-76</c:v>
                </c:pt>
                <c:pt idx="5">
                  <c:v>1976-77</c:v>
                </c:pt>
                <c:pt idx="6">
                  <c:v>1977-78</c:v>
                </c:pt>
                <c:pt idx="7">
                  <c:v>1978-79</c:v>
                </c:pt>
                <c:pt idx="8">
                  <c:v>1979-80</c:v>
                </c:pt>
                <c:pt idx="9">
                  <c:v>1980-81</c:v>
                </c:pt>
                <c:pt idx="10">
                  <c:v>1981-82</c:v>
                </c:pt>
                <c:pt idx="11">
                  <c:v>1982-83</c:v>
                </c:pt>
                <c:pt idx="12">
                  <c:v>1983-84</c:v>
                </c:pt>
                <c:pt idx="13">
                  <c:v>1984-85</c:v>
                </c:pt>
                <c:pt idx="14">
                  <c:v>1985-86</c:v>
                </c:pt>
                <c:pt idx="15">
                  <c:v>1986-87</c:v>
                </c:pt>
                <c:pt idx="16">
                  <c:v>1987-88</c:v>
                </c:pt>
                <c:pt idx="17">
                  <c:v>1988-89</c:v>
                </c:pt>
                <c:pt idx="18">
                  <c:v>1989-90</c:v>
                </c:pt>
                <c:pt idx="19">
                  <c:v>1990-91</c:v>
                </c:pt>
                <c:pt idx="20">
                  <c:v>1991-92</c:v>
                </c:pt>
                <c:pt idx="21">
                  <c:v>1992-93</c:v>
                </c:pt>
                <c:pt idx="22">
                  <c:v>1993-94</c:v>
                </c:pt>
                <c:pt idx="23">
                  <c:v>1994-95</c:v>
                </c:pt>
                <c:pt idx="24">
                  <c:v>1995-96</c:v>
                </c:pt>
                <c:pt idx="25">
                  <c:v>1996-97</c:v>
                </c:pt>
                <c:pt idx="26">
                  <c:v>1997-98</c:v>
                </c:pt>
                <c:pt idx="27">
                  <c:v>1998-99</c:v>
                </c:pt>
                <c:pt idx="28">
                  <c:v>1999-00</c:v>
                </c:pt>
                <c:pt idx="29">
                  <c:v>2000-01</c:v>
                </c:pt>
                <c:pt idx="30">
                  <c:v>2001-02</c:v>
                </c:pt>
                <c:pt idx="31">
                  <c:v>2002-03</c:v>
                </c:pt>
                <c:pt idx="32">
                  <c:v>2003-04</c:v>
                </c:pt>
                <c:pt idx="33">
                  <c:v>2004-05</c:v>
                </c:pt>
                <c:pt idx="34">
                  <c:v>2005-06</c:v>
                </c:pt>
                <c:pt idx="35">
                  <c:v>2006-07</c:v>
                </c:pt>
                <c:pt idx="36">
                  <c:v>2007-08</c:v>
                </c:pt>
                <c:pt idx="37">
                  <c:v>2008-09</c:v>
                </c:pt>
                <c:pt idx="38">
                  <c:v>2009-10</c:v>
                </c:pt>
                <c:pt idx="39">
                  <c:v>2010-11</c:v>
                </c:pt>
                <c:pt idx="40">
                  <c:v>2011-12</c:v>
                </c:pt>
                <c:pt idx="41">
                  <c:v>2012-13</c:v>
                </c:pt>
                <c:pt idx="42">
                  <c:v>2013-14</c:v>
                </c:pt>
                <c:pt idx="43">
                  <c:v>2014-15</c:v>
                </c:pt>
                <c:pt idx="44">
                  <c:v>2015-16</c:v>
                </c:pt>
                <c:pt idx="45">
                  <c:v>2016-17</c:v>
                </c:pt>
              </c:strCache>
            </c:strRef>
          </c:cat>
          <c:val>
            <c:numRef>
              <c:f>(Spending!$Y$61:$Y$88,Spending!$Y$94:$Y$111)</c:f>
              <c:numCache>
                <c:formatCode>0.0%</c:formatCode>
                <c:ptCount val="46"/>
                <c:pt idx="0">
                  <c:v>4.3286917748917748E-2</c:v>
                </c:pt>
                <c:pt idx="1">
                  <c:v>4.138818003351688E-2</c:v>
                </c:pt>
                <c:pt idx="2">
                  <c:v>4.4018008088070097E-2</c:v>
                </c:pt>
                <c:pt idx="3">
                  <c:v>4.902293102725367E-2</c:v>
                </c:pt>
                <c:pt idx="4">
                  <c:v>4.4557541598397962E-2</c:v>
                </c:pt>
                <c:pt idx="5">
                  <c:v>3.996880646687697E-2</c:v>
                </c:pt>
                <c:pt idx="6">
                  <c:v>3.7331693907675795E-2</c:v>
                </c:pt>
                <c:pt idx="7">
                  <c:v>3.6184899750860124E-2</c:v>
                </c:pt>
                <c:pt idx="8">
                  <c:v>3.6998773411639083E-2</c:v>
                </c:pt>
                <c:pt idx="9">
                  <c:v>3.6859638988827874E-2</c:v>
                </c:pt>
                <c:pt idx="10">
                  <c:v>3.6940164354880921E-2</c:v>
                </c:pt>
                <c:pt idx="11">
                  <c:v>3.5475225735409788E-2</c:v>
                </c:pt>
                <c:pt idx="12">
                  <c:v>3.144114778885395E-2</c:v>
                </c:pt>
                <c:pt idx="13">
                  <c:v>3.088530289915219E-2</c:v>
                </c:pt>
                <c:pt idx="14">
                  <c:v>3.1643378735417886E-2</c:v>
                </c:pt>
                <c:pt idx="15">
                  <c:v>3.2352798443833576E-2</c:v>
                </c:pt>
                <c:pt idx="16">
                  <c:v>3.4959546329463555E-2</c:v>
                </c:pt>
                <c:pt idx="17">
                  <c:v>3.9099511994975925E-2</c:v>
                </c:pt>
                <c:pt idx="18">
                  <c:v>4.3405624957954927E-2</c:v>
                </c:pt>
                <c:pt idx="19">
                  <c:v>4.3740696868189523E-2</c:v>
                </c:pt>
                <c:pt idx="20">
                  <c:v>4.1619258557710412E-2</c:v>
                </c:pt>
                <c:pt idx="21">
                  <c:v>4.0790670179632046E-2</c:v>
                </c:pt>
                <c:pt idx="22">
                  <c:v>3.9238665195545898E-2</c:v>
                </c:pt>
                <c:pt idx="23">
                  <c:v>3.8904997013904007E-2</c:v>
                </c:pt>
                <c:pt idx="24">
                  <c:v>3.8382573184389625E-2</c:v>
                </c:pt>
                <c:pt idx="25">
                  <c:v>3.9117736798928056E-2</c:v>
                </c:pt>
                <c:pt idx="26">
                  <c:v>3.8440777890299337E-2</c:v>
                </c:pt>
                <c:pt idx="27">
                  <c:v>3.7648098491535539E-2</c:v>
                </c:pt>
                <c:pt idx="28">
                  <c:v>3.7982406876790831E-2</c:v>
                </c:pt>
                <c:pt idx="29">
                  <c:v>3.8515032979182101E-2</c:v>
                </c:pt>
                <c:pt idx="30">
                  <c:v>4.0512307134723147E-2</c:v>
                </c:pt>
                <c:pt idx="31">
                  <c:v>4.242134613843894E-2</c:v>
                </c:pt>
                <c:pt idx="32">
                  <c:v>4.2442269844915372E-2</c:v>
                </c:pt>
                <c:pt idx="33">
                  <c:v>4.2122431258510125E-2</c:v>
                </c:pt>
                <c:pt idx="34">
                  <c:v>4.3245791248240968E-2</c:v>
                </c:pt>
                <c:pt idx="35">
                  <c:v>4.2983437796659238E-2</c:v>
                </c:pt>
                <c:pt idx="36">
                  <c:v>4.3699977837310049E-2</c:v>
                </c:pt>
                <c:pt idx="37">
                  <c:v>4.4206582527204288E-2</c:v>
                </c:pt>
                <c:pt idx="38">
                  <c:v>4.5118734577169854E-2</c:v>
                </c:pt>
                <c:pt idx="39">
                  <c:v>4.574364754737216E-2</c:v>
                </c:pt>
                <c:pt idx="40">
                  <c:v>4.4633513911707841E-2</c:v>
                </c:pt>
                <c:pt idx="41">
                  <c:v>4.2001626862187766E-2</c:v>
                </c:pt>
                <c:pt idx="42">
                  <c:v>4.1528992062055889E-2</c:v>
                </c:pt>
                <c:pt idx="43">
                  <c:v>4.1428680856122675E-2</c:v>
                </c:pt>
                <c:pt idx="44">
                  <c:v>4.0494164714671071E-2</c:v>
                </c:pt>
                <c:pt idx="45">
                  <c:v>3.9973689522782845E-2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1-4C2B-BF2F-D14FA65DD986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(Spending!$A$61:$A$88,Spending!$A$94:$A$111)</c:f>
              <c:strCache>
                <c:ptCount val="46"/>
                <c:pt idx="0">
                  <c:v>1971-72</c:v>
                </c:pt>
                <c:pt idx="1">
                  <c:v>1972-73</c:v>
                </c:pt>
                <c:pt idx="2">
                  <c:v>1973-74</c:v>
                </c:pt>
                <c:pt idx="3">
                  <c:v>1974-75</c:v>
                </c:pt>
                <c:pt idx="4">
                  <c:v>1975-76</c:v>
                </c:pt>
                <c:pt idx="5">
                  <c:v>1976-77</c:v>
                </c:pt>
                <c:pt idx="6">
                  <c:v>1977-78</c:v>
                </c:pt>
                <c:pt idx="7">
                  <c:v>1978-79</c:v>
                </c:pt>
                <c:pt idx="8">
                  <c:v>1979-80</c:v>
                </c:pt>
                <c:pt idx="9">
                  <c:v>1980-81</c:v>
                </c:pt>
                <c:pt idx="10">
                  <c:v>1981-82</c:v>
                </c:pt>
                <c:pt idx="11">
                  <c:v>1982-83</c:v>
                </c:pt>
                <c:pt idx="12">
                  <c:v>1983-84</c:v>
                </c:pt>
                <c:pt idx="13">
                  <c:v>1984-85</c:v>
                </c:pt>
                <c:pt idx="14">
                  <c:v>1985-86</c:v>
                </c:pt>
                <c:pt idx="15">
                  <c:v>1986-87</c:v>
                </c:pt>
                <c:pt idx="16">
                  <c:v>1987-88</c:v>
                </c:pt>
                <c:pt idx="17">
                  <c:v>1988-89</c:v>
                </c:pt>
                <c:pt idx="18">
                  <c:v>1989-90</c:v>
                </c:pt>
                <c:pt idx="19">
                  <c:v>1990-91</c:v>
                </c:pt>
                <c:pt idx="20">
                  <c:v>1991-92</c:v>
                </c:pt>
                <c:pt idx="21">
                  <c:v>1992-93</c:v>
                </c:pt>
                <c:pt idx="22">
                  <c:v>1993-94</c:v>
                </c:pt>
                <c:pt idx="23">
                  <c:v>1994-95</c:v>
                </c:pt>
                <c:pt idx="24">
                  <c:v>1995-96</c:v>
                </c:pt>
                <c:pt idx="25">
                  <c:v>1996-97</c:v>
                </c:pt>
                <c:pt idx="26">
                  <c:v>1997-98</c:v>
                </c:pt>
                <c:pt idx="27">
                  <c:v>1998-99</c:v>
                </c:pt>
                <c:pt idx="28">
                  <c:v>1999-00</c:v>
                </c:pt>
                <c:pt idx="29">
                  <c:v>2000-01</c:v>
                </c:pt>
                <c:pt idx="30">
                  <c:v>2001-02</c:v>
                </c:pt>
                <c:pt idx="31">
                  <c:v>2002-03</c:v>
                </c:pt>
                <c:pt idx="32">
                  <c:v>2003-04</c:v>
                </c:pt>
                <c:pt idx="33">
                  <c:v>2004-05</c:v>
                </c:pt>
                <c:pt idx="34">
                  <c:v>2005-06</c:v>
                </c:pt>
                <c:pt idx="35">
                  <c:v>2006-07</c:v>
                </c:pt>
                <c:pt idx="36">
                  <c:v>2007-08</c:v>
                </c:pt>
                <c:pt idx="37">
                  <c:v>2008-09</c:v>
                </c:pt>
                <c:pt idx="38">
                  <c:v>2009-10</c:v>
                </c:pt>
                <c:pt idx="39">
                  <c:v>2010-11</c:v>
                </c:pt>
                <c:pt idx="40">
                  <c:v>2011-12</c:v>
                </c:pt>
                <c:pt idx="41">
                  <c:v>2012-13</c:v>
                </c:pt>
                <c:pt idx="42">
                  <c:v>2013-14</c:v>
                </c:pt>
                <c:pt idx="43">
                  <c:v>2014-15</c:v>
                </c:pt>
                <c:pt idx="44">
                  <c:v>2015-16</c:v>
                </c:pt>
                <c:pt idx="45">
                  <c:v>2016-17</c:v>
                </c:pt>
              </c:strCache>
            </c:strRef>
          </c:cat>
          <c:val>
            <c:numRef>
              <c:f>(Spending!$AC$61:$AC$88,Spending!$AC$94:$AC$112)</c:f>
              <c:numCache>
                <c:formatCode>0.0%</c:formatCode>
                <c:ptCount val="47"/>
                <c:pt idx="0">
                  <c:v>4.3999999999999997E-2</c:v>
                </c:pt>
                <c:pt idx="1">
                  <c:v>4.2999999999999997E-2</c:v>
                </c:pt>
                <c:pt idx="2">
                  <c:v>4.2000000000000003E-2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4.2000000000000003E-2</c:v>
                </c:pt>
                <c:pt idx="6">
                  <c:v>4.2000000000000003E-2</c:v>
                </c:pt>
                <c:pt idx="7">
                  <c:v>0.04</c:v>
                </c:pt>
                <c:pt idx="8">
                  <c:v>3.9E-2</c:v>
                </c:pt>
                <c:pt idx="9">
                  <c:v>3.9E-2</c:v>
                </c:pt>
                <c:pt idx="10">
                  <c:v>3.7999999999999999E-2</c:v>
                </c:pt>
                <c:pt idx="11">
                  <c:v>3.7999999999999999E-2</c:v>
                </c:pt>
                <c:pt idx="12">
                  <c:v>3.7999999999999999E-2</c:v>
                </c:pt>
                <c:pt idx="13">
                  <c:v>3.6999999999999998E-2</c:v>
                </c:pt>
                <c:pt idx="14">
                  <c:v>3.6999999999999998E-2</c:v>
                </c:pt>
                <c:pt idx="15">
                  <c:v>3.7999999999999999E-2</c:v>
                </c:pt>
                <c:pt idx="16">
                  <c:v>3.9E-2</c:v>
                </c:pt>
                <c:pt idx="17">
                  <c:v>0.04</c:v>
                </c:pt>
                <c:pt idx="18">
                  <c:v>4.1000000000000002E-2</c:v>
                </c:pt>
                <c:pt idx="19">
                  <c:v>4.2000000000000003E-2</c:v>
                </c:pt>
                <c:pt idx="20">
                  <c:v>4.2999999999999997E-2</c:v>
                </c:pt>
                <c:pt idx="21">
                  <c:v>4.2000000000000003E-2</c:v>
                </c:pt>
                <c:pt idx="22">
                  <c:v>4.178211493450798E-2</c:v>
                </c:pt>
                <c:pt idx="23">
                  <c:v>4.1347460321803864E-2</c:v>
                </c:pt>
                <c:pt idx="24">
                  <c:v>4.2000000000000003E-2</c:v>
                </c:pt>
                <c:pt idx="25">
                  <c:v>4.1844769264956422E-2</c:v>
                </c:pt>
                <c:pt idx="26">
                  <c:v>4.2006737526862986E-2</c:v>
                </c:pt>
                <c:pt idx="27">
                  <c:v>4.2318135809532184E-2</c:v>
                </c:pt>
                <c:pt idx="28">
                  <c:v>4.2999999999999997E-2</c:v>
                </c:pt>
                <c:pt idx="29">
                  <c:v>4.2999999999999997E-2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4.3999999999999997E-2</c:v>
                </c:pt>
                <c:pt idx="34">
                  <c:v>4.3999999999999997E-2</c:v>
                </c:pt>
                <c:pt idx="35">
                  <c:v>4.3999999999999997E-2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4.3999999999999997E-2</c:v>
                </c:pt>
                <c:pt idx="40">
                  <c:v>4.2000000000000003E-2</c:v>
                </c:pt>
                <c:pt idx="41">
                  <c:v>0.04</c:v>
                </c:pt>
                <c:pt idx="42">
                  <c:v>0.04</c:v>
                </c:pt>
                <c:pt idx="43">
                  <c:v>0.04</c:v>
                </c:pt>
                <c:pt idx="44">
                  <c:v>0.04</c:v>
                </c:pt>
                <c:pt idx="45">
                  <c:v>4.1000000000000002E-2</c:v>
                </c:pt>
                <c:pt idx="46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1-4C2B-BF2F-D14FA65DD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7040"/>
        <c:axId val="111529984"/>
      </c:lineChart>
      <c:catAx>
        <c:axId val="11152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School Year</a:t>
                </a:r>
              </a:p>
            </c:rich>
          </c:tx>
          <c:layout>
            <c:manualLayout>
              <c:xMode val="edge"/>
              <c:yMode val="edge"/>
              <c:x val="0.46829810901001112"/>
              <c:y val="0.93713450292397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29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29984"/>
        <c:scaling>
          <c:orientation val="minMax"/>
          <c:min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27040"/>
        <c:crosses val="autoZero"/>
        <c:crossBetween val="between"/>
        <c:majorUnit val="5.0000000000000001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NH School Spending 1998/99 to 2018/198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386496970733463"/>
          <c:y val="8.7351541574740094E-2"/>
          <c:w val="0.78265609341328524"/>
          <c:h val="0.70920283229904113"/>
        </c:manualLayout>
      </c:layout>
      <c:lineChart>
        <c:grouping val="standard"/>
        <c:varyColors val="0"/>
        <c:ser>
          <c:idx val="1"/>
          <c:order val="0"/>
          <c:tx>
            <c:v>Total School Spending</c:v>
          </c:tx>
          <c:marker>
            <c:symbol val="square"/>
            <c:size val="3"/>
          </c:marker>
          <c:val>
            <c:numRef>
              <c:f>(Spending!$U$77:$U$88,Spending!$V$94:$V$113)</c:f>
              <c:numCache>
                <c:formatCode>"$"#,##0</c:formatCode>
                <c:ptCount val="32"/>
                <c:pt idx="0">
                  <c:v>729299911</c:v>
                </c:pt>
                <c:pt idx="1">
                  <c:v>835185245</c:v>
                </c:pt>
                <c:pt idx="2">
                  <c:v>934897485</c:v>
                </c:pt>
                <c:pt idx="3">
                  <c:v>1009001089</c:v>
                </c:pt>
                <c:pt idx="4">
                  <c:v>1051349894</c:v>
                </c:pt>
                <c:pt idx="5">
                  <c:v>1094147810</c:v>
                </c:pt>
                <c:pt idx="6">
                  <c:v>1133597169</c:v>
                </c:pt>
                <c:pt idx="7">
                  <c:v>1184367396</c:v>
                </c:pt>
                <c:pt idx="8">
                  <c:v>1255436105</c:v>
                </c:pt>
                <c:pt idx="9">
                  <c:v>1319584267</c:v>
                </c:pt>
                <c:pt idx="10">
                  <c:v>1469010484</c:v>
                </c:pt>
                <c:pt idx="11">
                  <c:v>1526924049</c:v>
                </c:pt>
                <c:pt idx="12">
                  <c:v>1657228915</c:v>
                </c:pt>
                <c:pt idx="13">
                  <c:v>1812244528</c:v>
                </c:pt>
                <c:pt idx="14">
                  <c:v>1961786048</c:v>
                </c:pt>
                <c:pt idx="15">
                  <c:v>2143731464</c:v>
                </c:pt>
                <c:pt idx="16">
                  <c:v>2308250839</c:v>
                </c:pt>
                <c:pt idx="17">
                  <c:v>2417434032</c:v>
                </c:pt>
                <c:pt idx="18">
                  <c:v>2583982711</c:v>
                </c:pt>
                <c:pt idx="19">
                  <c:v>2703006804</c:v>
                </c:pt>
                <c:pt idx="20">
                  <c:v>2802198997</c:v>
                </c:pt>
                <c:pt idx="21">
                  <c:v>2844790274</c:v>
                </c:pt>
                <c:pt idx="22">
                  <c:v>2939601342.8299999</c:v>
                </c:pt>
                <c:pt idx="23">
                  <c:v>3079455656.4400001</c:v>
                </c:pt>
                <c:pt idx="24">
                  <c:v>3066654394.8200002</c:v>
                </c:pt>
                <c:pt idx="25">
                  <c:v>2987475062.8699999</c:v>
                </c:pt>
                <c:pt idx="26">
                  <c:v>3057566437.6100001</c:v>
                </c:pt>
                <c:pt idx="27">
                  <c:v>3140655131.4200001</c:v>
                </c:pt>
                <c:pt idx="28">
                  <c:v>3219926096</c:v>
                </c:pt>
                <c:pt idx="29">
                  <c:v>3277447384.79</c:v>
                </c:pt>
                <c:pt idx="30">
                  <c:v>3387516315</c:v>
                </c:pt>
                <c:pt idx="31">
                  <c:v>3505777197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30-4CE1-9CD8-314A9575D0EB}"/>
            </c:ext>
          </c:extLst>
        </c:ser>
        <c:ser>
          <c:idx val="0"/>
          <c:order val="1"/>
          <c:tx>
            <c:v>Special Education Services</c:v>
          </c:tx>
          <c:marker>
            <c:symbol val="square"/>
            <c:size val="3"/>
          </c:marker>
          <c:cat>
            <c:strRef>
              <c:f>(Spending!$A$78:$A$88,Spending!$A$94:$A$112)</c:f>
              <c:strCache>
                <c:ptCount val="30"/>
                <c:pt idx="0">
                  <c:v>1988-89</c:v>
                </c:pt>
                <c:pt idx="1">
                  <c:v>1989-90</c:v>
                </c:pt>
                <c:pt idx="2">
                  <c:v>1990-91</c:v>
                </c:pt>
                <c:pt idx="3">
                  <c:v>1991-92</c:v>
                </c:pt>
                <c:pt idx="4">
                  <c:v>1992-93</c:v>
                </c:pt>
                <c:pt idx="5">
                  <c:v>1993-94</c:v>
                </c:pt>
                <c:pt idx="6">
                  <c:v>1994-95</c:v>
                </c:pt>
                <c:pt idx="7">
                  <c:v>1995-96</c:v>
                </c:pt>
                <c:pt idx="8">
                  <c:v>1996-97</c:v>
                </c:pt>
                <c:pt idx="9">
                  <c:v>1997-98</c:v>
                </c:pt>
                <c:pt idx="10">
                  <c:v>1998-99</c:v>
                </c:pt>
                <c:pt idx="11">
                  <c:v>1999-00</c:v>
                </c:pt>
                <c:pt idx="12">
                  <c:v>2000-01</c:v>
                </c:pt>
                <c:pt idx="13">
                  <c:v>2001-02</c:v>
                </c:pt>
                <c:pt idx="14">
                  <c:v>2002-03</c:v>
                </c:pt>
                <c:pt idx="15">
                  <c:v>2003-04</c:v>
                </c:pt>
                <c:pt idx="16">
                  <c:v>2004-05</c:v>
                </c:pt>
                <c:pt idx="17">
                  <c:v>2005-06</c:v>
                </c:pt>
                <c:pt idx="18">
                  <c:v>2006-07</c:v>
                </c:pt>
                <c:pt idx="19">
                  <c:v>2007-08</c:v>
                </c:pt>
                <c:pt idx="20">
                  <c:v>2008-09</c:v>
                </c:pt>
                <c:pt idx="21">
                  <c:v>2009-10</c:v>
                </c:pt>
                <c:pt idx="22">
                  <c:v>2010-11</c:v>
                </c:pt>
                <c:pt idx="23">
                  <c:v>2011-12</c:v>
                </c:pt>
                <c:pt idx="24">
                  <c:v>2012-13</c:v>
                </c:pt>
                <c:pt idx="25">
                  <c:v>2013-14</c:v>
                </c:pt>
                <c:pt idx="26">
                  <c:v>2014-15</c:v>
                </c:pt>
                <c:pt idx="27">
                  <c:v>2015-16</c:v>
                </c:pt>
                <c:pt idx="28">
                  <c:v>2016-17</c:v>
                </c:pt>
                <c:pt idx="29">
                  <c:v>2017-18</c:v>
                </c:pt>
              </c:strCache>
            </c:strRef>
          </c:cat>
          <c:val>
            <c:numRef>
              <c:f>(Spending!$C$78:$C$90,Spending!$C$94:$C$112)</c:f>
              <c:numCache>
                <c:formatCode>"$"#,##0</c:formatCode>
                <c:ptCount val="32"/>
                <c:pt idx="0">
                  <c:v>92180234</c:v>
                </c:pt>
                <c:pt idx="1">
                  <c:v>105757224</c:v>
                </c:pt>
                <c:pt idx="2">
                  <c:v>116014363</c:v>
                </c:pt>
                <c:pt idx="3">
                  <c:v>122834171</c:v>
                </c:pt>
                <c:pt idx="4">
                  <c:v>132574620</c:v>
                </c:pt>
                <c:pt idx="5">
                  <c:v>138121227</c:v>
                </c:pt>
                <c:pt idx="6">
                  <c:v>152090460</c:v>
                </c:pt>
                <c:pt idx="7">
                  <c:v>170006701</c:v>
                </c:pt>
                <c:pt idx="8">
                  <c:v>184147400</c:v>
                </c:pt>
                <c:pt idx="9">
                  <c:v>205301995</c:v>
                </c:pt>
                <c:pt idx="10">
                  <c:v>224422192</c:v>
                </c:pt>
                <c:pt idx="11">
                  <c:v>245857165.93742552</c:v>
                </c:pt>
                <c:pt idx="12">
                  <c:v>266624153.45941639</c:v>
                </c:pt>
                <c:pt idx="13">
                  <c:v>230016838</c:v>
                </c:pt>
                <c:pt idx="14">
                  <c:v>251043065</c:v>
                </c:pt>
                <c:pt idx="15">
                  <c:v>279080873</c:v>
                </c:pt>
                <c:pt idx="16">
                  <c:v>313920798</c:v>
                </c:pt>
                <c:pt idx="17">
                  <c:v>343675469</c:v>
                </c:pt>
                <c:pt idx="18">
                  <c:v>368625189</c:v>
                </c:pt>
                <c:pt idx="19">
                  <c:v>391977486</c:v>
                </c:pt>
                <c:pt idx="20">
                  <c:v>415946689</c:v>
                </c:pt>
                <c:pt idx="21">
                  <c:v>448968560</c:v>
                </c:pt>
                <c:pt idx="22">
                  <c:v>473442456</c:v>
                </c:pt>
                <c:pt idx="23">
                  <c:v>508089836</c:v>
                </c:pt>
                <c:pt idx="24">
                  <c:v>521652296</c:v>
                </c:pt>
                <c:pt idx="25">
                  <c:v>518250396</c:v>
                </c:pt>
                <c:pt idx="26">
                  <c:v>520481101</c:v>
                </c:pt>
                <c:pt idx="27">
                  <c:v>531603326</c:v>
                </c:pt>
                <c:pt idx="28">
                  <c:v>533232787</c:v>
                </c:pt>
                <c:pt idx="29">
                  <c:v>552956963</c:v>
                </c:pt>
                <c:pt idx="30">
                  <c:v>566549771</c:v>
                </c:pt>
                <c:pt idx="31" formatCode="&quot;$&quot;#,##0_);[Red]\(&quot;$&quot;#,##0\)">
                  <c:v>595636726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0-4CE1-9CD8-314A9575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4080"/>
        <c:axId val="116019968"/>
      </c:lineChart>
      <c:catAx>
        <c:axId val="116014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116019968"/>
        <c:crosses val="autoZero"/>
        <c:auto val="1"/>
        <c:lblAlgn val="ctr"/>
        <c:lblOffset val="100"/>
        <c:tickLblSkip val="2"/>
        <c:noMultiLvlLbl val="0"/>
      </c:catAx>
      <c:valAx>
        <c:axId val="116019968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01408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Revenue of School Districts 1998/99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(Last year before </a:t>
            </a:r>
            <a:r>
              <a:rPr lang="en-US" i="1"/>
              <a:t>Claremont</a:t>
            </a:r>
            <a:r>
              <a:rPr lang="en-US"/>
              <a:t> reforms)</a:t>
            </a:r>
          </a:p>
        </c:rich>
      </c:tx>
      <c:layout>
        <c:manualLayout>
          <c:xMode val="edge"/>
          <c:yMode val="edge"/>
          <c:x val="0.21245828698553948"/>
          <c:y val="3.9344262295081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101965146459027"/>
          <c:y val="0.17868852459016393"/>
          <c:w val="0.53540971449758989"/>
          <c:h val="0.7890710382513661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78-45BA-98C6-484782E97F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78-45BA-98C6-484782E97F4B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78-45BA-98C6-484782E97F4B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78-45BA-98C6-484782E97F4B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78-45BA-98C6-484782E97F4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78-45BA-98C6-484782E97F4B}"/>
              </c:ext>
            </c:extLst>
          </c:dPt>
          <c:dPt>
            <c:idx val="6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78-45BA-98C6-484782E97F4B}"/>
              </c:ext>
            </c:extLst>
          </c:dPt>
          <c:dLbls>
            <c:dLbl>
              <c:idx val="0"/>
              <c:layout>
                <c:manualLayout>
                  <c:x val="-0.24692948420379598"/>
                  <c:y val="0.10432098446710554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Local Property Tax
79.9%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F78-45BA-98C6-484782E97F4B}"/>
                </c:ext>
              </c:extLst>
            </c:dLbl>
            <c:dLbl>
              <c:idx val="1"/>
              <c:layout>
                <c:manualLayout>
                  <c:x val="-1.096920170851836E-2"/>
                  <c:y val="-4.637528505658104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State Foundation Aid 4.6%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F78-45BA-98C6-484782E97F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78-45BA-98C6-484782E97F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Other State Aid
3.9%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F78-45BA-98C6-484782E97F4B}"/>
                </c:ext>
              </c:extLst>
            </c:dLbl>
            <c:dLbl>
              <c:idx val="4"/>
              <c:layout>
                <c:manualLayout>
                  <c:x val="-9.2155471667265173E-3"/>
                  <c:y val="5.9326190783529111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Federal Aid
3.9%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F78-45BA-98C6-484782E97F4B}"/>
                </c:ext>
              </c:extLst>
            </c:dLbl>
            <c:dLbl>
              <c:idx val="5"/>
              <c:layout>
                <c:manualLayout>
                  <c:x val="9.3390439654442534E-2"/>
                  <c:y val="4.9650703498128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
7.7%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F78-45BA-98C6-484782E97F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78-45BA-98C6-484782E97F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78-45BA-98C6-484782E97F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('For Pie Charts'!$A$45,'For Pie Charts'!$A$47:$A$50,'For Pie Charts'!$A$52)</c:f>
              <c:strCache>
                <c:ptCount val="6"/>
                <c:pt idx="0">
                  <c:v>Local Property Tax</c:v>
                </c:pt>
                <c:pt idx="1">
                  <c:v>State Foundation/Adequacy Aid</c:v>
                </c:pt>
                <c:pt idx="2">
                  <c:v>Other State Aid</c:v>
                </c:pt>
                <c:pt idx="3">
                  <c:v>Federal Aid</c:v>
                </c:pt>
                <c:pt idx="4">
                  <c:v>Tuition, Food, and Other</c:v>
                </c:pt>
                <c:pt idx="5">
                  <c:v>Other</c:v>
                </c:pt>
              </c:strCache>
            </c:strRef>
          </c:cat>
          <c:val>
            <c:numRef>
              <c:f>('For Pie Charts'!$C$45:$C$50,'For Pie Charts'!$C$52)</c:f>
              <c:numCache>
                <c:formatCode>General</c:formatCode>
                <c:ptCount val="7"/>
                <c:pt idx="0" formatCode="&quot;$&quot;#,##0_);\(&quot;$&quot;#,##0\)">
                  <c:v>1195958846</c:v>
                </c:pt>
                <c:pt idx="2" formatCode="&quot;$&quot;#,##0_);\(&quot;$&quot;#,##0\)">
                  <c:v>68804546</c:v>
                </c:pt>
                <c:pt idx="3" formatCode="&quot;$&quot;#,##0_);\(&quot;$&quot;#,##0\)">
                  <c:v>58897415</c:v>
                </c:pt>
                <c:pt idx="4" formatCode="&quot;$&quot;#,##0_);\(&quot;$&quot;#,##0\)">
                  <c:v>58224175</c:v>
                </c:pt>
                <c:pt idx="5" formatCode="&quot;$&quot;#,##0_);\(&quot;$&quot;#,##0\)">
                  <c:v>114620612</c:v>
                </c:pt>
                <c:pt idx="6" formatCode="&quot;$&quot;#,##0_);\(&quot;$&quot;#,##0\)">
                  <c:v>50811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78-45BA-98C6-484782E97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Revenue of School Districts 1999/2000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(First year After </a:t>
            </a:r>
            <a:r>
              <a:rPr lang="en-US" i="1"/>
              <a:t>Claremont</a:t>
            </a:r>
            <a:r>
              <a:rPr lang="en-US"/>
              <a:t> Reforms)</a:t>
            </a:r>
          </a:p>
        </c:rich>
      </c:tx>
      <c:layout>
        <c:manualLayout>
          <c:xMode val="edge"/>
          <c:yMode val="edge"/>
          <c:x val="0.25695216907675195"/>
          <c:y val="2.185792349726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53652206154986"/>
          <c:y val="0.16338797814207651"/>
          <c:w val="0.54282536151279204"/>
          <c:h val="0.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5F-4441-B781-1FCA4C7B9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5F-4441-B781-1FCA4C7B9D53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5F-4441-B781-1FCA4C7B9D53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5F-4441-B781-1FCA4C7B9D53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5F-4441-B781-1FCA4C7B9D5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5F-4441-B781-1FCA4C7B9D53}"/>
              </c:ext>
            </c:extLst>
          </c:dPt>
          <c:dPt>
            <c:idx val="6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35F-4441-B781-1FCA4C7B9D53}"/>
              </c:ext>
            </c:extLst>
          </c:dPt>
          <c:dLbls>
            <c:dLbl>
              <c:idx val="0"/>
              <c:layout>
                <c:manualLayout>
                  <c:x val="2.4483196552600003E-2"/>
                  <c:y val="0.2442116948496192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Local Property Tax
34.9%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35F-4441-B781-1FCA4C7B9D53}"/>
                </c:ext>
              </c:extLst>
            </c:dLbl>
            <c:dLbl>
              <c:idx val="1"/>
              <c:layout>
                <c:manualLayout>
                  <c:x val="-0.2082254123128936"/>
                  <c:y val="-4.8561077406307815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Statewide Property Tax</a:t>
                    </a:r>
                    <a:br>
                      <a:rPr lang="en-US"/>
                    </a:br>
                    <a:r>
                      <a:rPr lang="en-US"/>
                      <a:t>(SWEPT)
26.3%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35F-4441-B781-1FCA4C7B9D53}"/>
                </c:ext>
              </c:extLst>
            </c:dLbl>
            <c:dLbl>
              <c:idx val="2"/>
              <c:layout>
                <c:manualLayout>
                  <c:x val="0.12210020466017939"/>
                  <c:y val="-0.2106484230454799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State Cash Adequacy Aid
25.6%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35F-4441-B781-1FCA4C7B9D53}"/>
                </c:ext>
              </c:extLst>
            </c:dLbl>
            <c:dLbl>
              <c:idx val="3"/>
              <c:layout>
                <c:manualLayout>
                  <c:x val="4.3968363798796565E-5"/>
                  <c:y val="9.63727894668904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State Aid
2.9%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35F-4441-B781-1FCA4C7B9D53}"/>
                </c:ext>
              </c:extLst>
            </c:dLbl>
            <c:dLbl>
              <c:idx val="4"/>
              <c:layout>
                <c:manualLayout>
                  <c:x val="7.7962390407539436E-3"/>
                  <c:y val="8.5677896820274511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Federal Aid
4.4%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35F-4441-B781-1FCA4C7B9D53}"/>
                </c:ext>
              </c:extLst>
            </c:dLbl>
            <c:dLbl>
              <c:idx val="5"/>
              <c:layout>
                <c:manualLayout>
                  <c:x val="6.8504228962480913E-4"/>
                  <c:y val="-1.21055032055419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
5.8%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35F-4441-B781-1FCA4C7B9D5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F-4441-B781-1FCA4C7B9D5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5F-4441-B781-1FCA4C7B9D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('For Pie Charts'!$E$45:$E$50,'For Pie Charts'!$E$52)</c:f>
              <c:numCache>
                <c:formatCode>"$"#,##0_);\("$"#,##0\)</c:formatCode>
                <c:ptCount val="7"/>
                <c:pt idx="0">
                  <c:v>554561140</c:v>
                </c:pt>
                <c:pt idx="1">
                  <c:v>417876569</c:v>
                </c:pt>
                <c:pt idx="2">
                  <c:v>406822379</c:v>
                </c:pt>
                <c:pt idx="3">
                  <c:v>45297902</c:v>
                </c:pt>
                <c:pt idx="4">
                  <c:v>70510329</c:v>
                </c:pt>
                <c:pt idx="5">
                  <c:v>91769127</c:v>
                </c:pt>
                <c:pt idx="6">
                  <c:v>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5F-4441-B781-1FCA4C7B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solidFill>
        <a:srgbClr val="000000"/>
      </a:solidFill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2017/18 Revenue of School Districts: $3.17 Billion</a:t>
            </a:r>
          </a:p>
        </c:rich>
      </c:tx>
      <c:layout>
        <c:manualLayout>
          <c:xMode val="edge"/>
          <c:yMode val="edge"/>
          <c:x val="0.11718941139031704"/>
          <c:y val="1.5300546448087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67505709281372"/>
          <c:y val="9.1256830601092895E-2"/>
          <c:w val="0.60055603537506819"/>
          <c:h val="0.88524590163934425"/>
        </c:manualLayout>
      </c:layout>
      <c:pieChart>
        <c:varyColors val="1"/>
        <c:ser>
          <c:idx val="0"/>
          <c:order val="0"/>
          <c:tx>
            <c:strRef>
              <c:f>'For Pie Charts'!$Z$45:$Z$50</c:f>
              <c:strCache>
                <c:ptCount val="6"/>
                <c:pt idx="0">
                  <c:v>$1,947,380,582 </c:v>
                </c:pt>
                <c:pt idx="1">
                  <c:v>$363,398,238 </c:v>
                </c:pt>
                <c:pt idx="2">
                  <c:v>$560,609,535 </c:v>
                </c:pt>
                <c:pt idx="3">
                  <c:v>$76,771,701 </c:v>
                </c:pt>
                <c:pt idx="4">
                  <c:v>$169,194,955 </c:v>
                </c:pt>
                <c:pt idx="5">
                  <c:v>$46,590,762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D-420C-836B-3BC5F1AB25DE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D-420C-836B-3BC5F1AB25DE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D-420C-836B-3BC5F1AB25DE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D-420C-836B-3BC5F1AB25DE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D-420C-836B-3BC5F1AB25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D-420C-836B-3BC5F1AB25DE}"/>
              </c:ext>
            </c:extLst>
          </c:dPt>
          <c:dLbls>
            <c:dLbl>
              <c:idx val="0"/>
              <c:layout>
                <c:manualLayout>
                  <c:x val="-0.23208796525870615"/>
                  <c:y val="0.207053224904264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>
                        <a:solidFill>
                          <a:sysClr val="windowText" lastClr="000000"/>
                        </a:solidFill>
                      </a:rPr>
                      <a:t>Local Property Tax
61.5%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BD-420C-836B-3BC5F1AB25DE}"/>
                </c:ext>
              </c:extLst>
            </c:dLbl>
            <c:dLbl>
              <c:idx val="1"/>
              <c:layout>
                <c:manualLayout>
                  <c:x val="1.5716271805111363E-2"/>
                  <c:y val="-4.8561077406307815E-2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>
                        <a:solidFill>
                          <a:sysClr val="windowText" lastClr="000000"/>
                        </a:solidFill>
                      </a:rPr>
                      <a:t>Statewide Property Tax (SWEPT)
11.5%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8BD-420C-836B-3BC5F1AB25DE}"/>
                </c:ext>
              </c:extLst>
            </c:dLbl>
            <c:dLbl>
              <c:idx val="2"/>
              <c:layout>
                <c:manualLayout>
                  <c:x val="0.16510568023143737"/>
                  <c:y val="-0.14507465255367669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/>
                      <a:t>State Cash Adequacy Aid
17.7%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8BD-420C-836B-3BC5F1AB25DE}"/>
                </c:ext>
              </c:extLst>
            </c:dLbl>
            <c:dLbl>
              <c:idx val="3"/>
              <c:layout>
                <c:manualLayout>
                  <c:x val="-1.3267635488232149E-2"/>
                  <c:y val="-7.8395938212641448E-4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Other State Aid
2.4%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8BD-420C-836B-3BC5F1AB25DE}"/>
                </c:ext>
              </c:extLst>
            </c:dLbl>
            <c:dLbl>
              <c:idx val="4"/>
              <c:layout>
                <c:manualLayout>
                  <c:x val="-4.364215664009944E-2"/>
                  <c:y val="-6.7578847726001466E-3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>
                        <a:solidFill>
                          <a:sysClr val="windowText" lastClr="000000"/>
                        </a:solidFill>
                      </a:rPr>
                      <a:t>Federal Aid
5.3%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8BD-420C-836B-3BC5F1AB25DE}"/>
                </c:ext>
              </c:extLst>
            </c:dLbl>
            <c:dLbl>
              <c:idx val="5"/>
              <c:layout>
                <c:manualLayout>
                  <c:x val="-6.6384005815591524E-3"/>
                  <c:y val="-5.4526397315089715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Tuition, Food, and Other
1.5%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8BD-420C-836B-3BC5F1AB25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BD-420C-836B-3BC5F1AB25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'For Pie Charts'!$A$45:$A$52</c:f>
              <c:strCache>
                <c:ptCount val="8"/>
                <c:pt idx="0">
                  <c:v>Local Property Tax</c:v>
                </c:pt>
                <c:pt idx="1">
                  <c:v>Statewide Property Tax</c:v>
                </c:pt>
                <c:pt idx="2">
                  <c:v>State Foundation/Adequacy Aid</c:v>
                </c:pt>
                <c:pt idx="3">
                  <c:v>Other State Aid</c:v>
                </c:pt>
                <c:pt idx="4">
                  <c:v>Federal Aid</c:v>
                </c:pt>
                <c:pt idx="5">
                  <c:v>Tuition, Food, and Other</c:v>
                </c:pt>
                <c:pt idx="6">
                  <c:v>Sale of Bonds &amp; Notes</c:v>
                </c:pt>
                <c:pt idx="7">
                  <c:v>Other</c:v>
                </c:pt>
              </c:strCache>
            </c:strRef>
          </c:cat>
          <c:val>
            <c:numRef>
              <c:f>'For Pie Charts'!$Z$45:$Z$50</c:f>
              <c:numCache>
                <c:formatCode>"$"#,##0_);\("$"#,##0\)</c:formatCode>
                <c:ptCount val="6"/>
                <c:pt idx="0">
                  <c:v>1947380582</c:v>
                </c:pt>
                <c:pt idx="1">
                  <c:v>363398238</c:v>
                </c:pt>
                <c:pt idx="2">
                  <c:v>560609535</c:v>
                </c:pt>
                <c:pt idx="3">
                  <c:v>76771701</c:v>
                </c:pt>
                <c:pt idx="4">
                  <c:v>169194955</c:v>
                </c:pt>
                <c:pt idx="5">
                  <c:v>46590762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8BD-420C-836B-3BC5F1AB2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FF0000"/>
                </a:solidFill>
              </a:rPr>
              <a:t>2018/19 Revenue of School Districts: $3.29 Billion</a:t>
            </a:r>
          </a:p>
        </c:rich>
      </c:tx>
      <c:layout>
        <c:manualLayout>
          <c:xMode val="edge"/>
          <c:yMode val="edge"/>
          <c:x val="0.11718941139031704"/>
          <c:y val="1.5300546448087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67505709281372"/>
          <c:y val="9.1256830601092895E-2"/>
          <c:w val="0.60055603537506819"/>
          <c:h val="0.885245901639344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38-486E-A38B-84BF193F9C6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38-486E-A38B-84BF193F9C62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38-486E-A38B-84BF193F9C62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38-486E-A38B-84BF193F9C62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38-486E-A38B-84BF193F9C6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38-486E-A38B-84BF193F9C62}"/>
              </c:ext>
            </c:extLst>
          </c:dPt>
          <c:dLbls>
            <c:dLbl>
              <c:idx val="0"/>
              <c:layout>
                <c:manualLayout>
                  <c:x val="-0.23208796525870615"/>
                  <c:y val="0.207053224904264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>
                        <a:solidFill>
                          <a:sysClr val="windowText" lastClr="000000"/>
                        </a:solidFill>
                      </a:rPr>
                      <a:t>Local Property Tax
62.1%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B38-486E-A38B-84BF193F9C62}"/>
                </c:ext>
              </c:extLst>
            </c:dLbl>
            <c:dLbl>
              <c:idx val="1"/>
              <c:layout>
                <c:manualLayout>
                  <c:x val="1.5716271805111363E-2"/>
                  <c:y val="-4.8561077406307815E-2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ysClr val="windowText" lastClr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>
                        <a:solidFill>
                          <a:sysClr val="windowText" lastClr="000000"/>
                        </a:solidFill>
                      </a:rPr>
                      <a:t>Statewide Property Tax (SWEPT)
11.2%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B38-486E-A38B-84BF193F9C62}"/>
                </c:ext>
              </c:extLst>
            </c:dLbl>
            <c:dLbl>
              <c:idx val="2"/>
              <c:layout>
                <c:manualLayout>
                  <c:x val="0.16510568023143737"/>
                  <c:y val="-0.14507465255367669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/>
                      <a:t>State Cash Adequacy Aid
17.0%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B38-486E-A38B-84BF193F9C62}"/>
                </c:ext>
              </c:extLst>
            </c:dLbl>
            <c:dLbl>
              <c:idx val="3"/>
              <c:layout>
                <c:manualLayout>
                  <c:x val="-1.3267635488232149E-2"/>
                  <c:y val="-7.8395938212641448E-4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Other State Aid
2.9%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B38-486E-A38B-84BF193F9C62}"/>
                </c:ext>
              </c:extLst>
            </c:dLbl>
            <c:dLbl>
              <c:idx val="4"/>
              <c:layout>
                <c:manualLayout>
                  <c:x val="-4.364215664009944E-2"/>
                  <c:y val="-6.7578847726001466E-3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1">
                        <a:solidFill>
                          <a:sysClr val="windowText" lastClr="000000"/>
                        </a:solidFill>
                      </a:rPr>
                      <a:t>Federal Aid
5.1%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B38-486E-A38B-84BF193F9C62}"/>
                </c:ext>
              </c:extLst>
            </c:dLbl>
            <c:dLbl>
              <c:idx val="5"/>
              <c:layout>
                <c:manualLayout>
                  <c:x val="-6.6384005815591524E-3"/>
                  <c:y val="-5.4526397315089715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Tuition, Food, and Other
1.6%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B38-486E-A38B-84BF193F9C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38-486E-A38B-84BF193F9C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38-486E-A38B-84BF193F9C6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'For Pie Charts'!$A$45:$A$52</c:f>
              <c:strCache>
                <c:ptCount val="8"/>
                <c:pt idx="0">
                  <c:v>Local Property Tax</c:v>
                </c:pt>
                <c:pt idx="1">
                  <c:v>Statewide Property Tax</c:v>
                </c:pt>
                <c:pt idx="2">
                  <c:v>State Foundation/Adequacy Aid</c:v>
                </c:pt>
                <c:pt idx="3">
                  <c:v>Other State Aid</c:v>
                </c:pt>
                <c:pt idx="4">
                  <c:v>Federal Aid</c:v>
                </c:pt>
                <c:pt idx="5">
                  <c:v>Tuition, Food, and Other</c:v>
                </c:pt>
                <c:pt idx="6">
                  <c:v>Sale of Bonds &amp; Notes</c:v>
                </c:pt>
                <c:pt idx="7">
                  <c:v>Other</c:v>
                </c:pt>
              </c:strCache>
            </c:strRef>
          </c:cat>
          <c:val>
            <c:numRef>
              <c:f>('For Pie Charts'!$AB$45:$AB$50,'For Pie Charts'!$AB$52)</c:f>
              <c:numCache>
                <c:formatCode>"$"#,##0_);\("$"#,##0\)</c:formatCode>
                <c:ptCount val="7"/>
                <c:pt idx="0">
                  <c:v>2012730122</c:v>
                </c:pt>
                <c:pt idx="1">
                  <c:v>363398238</c:v>
                </c:pt>
                <c:pt idx="2">
                  <c:v>551452784</c:v>
                </c:pt>
                <c:pt idx="3">
                  <c:v>94309413</c:v>
                </c:pt>
                <c:pt idx="4">
                  <c:v>165688054</c:v>
                </c:pt>
                <c:pt idx="5">
                  <c:v>51534164</c:v>
                </c:pt>
                <c:pt idx="6">
                  <c:v>370635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38-486E-A38B-84BF193F9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0" workbookViewId="0"/>
  </sheetViews>
  <pageMargins left="0.5" right="0.6" top="0.59" bottom="0.55000000000000004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8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27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80" workbookViewId="0"/>
  </sheetViews>
  <pageMargins left="0.48" right="0.6" top="0.57999999999999996" bottom="0.57999999999999996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tabSelected="1" zoomScale="141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17" workbookViewId="0"/>
  </sheetViews>
  <pageMargins left="0.52" right="0.45" top="0.57999999999999996" bottom="0.57999999999999996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0" workbookViewId="0"/>
  </sheetViews>
  <pageMargins left="0.75" right="0.75" top="0.56000000000000005" bottom="0.67" header="0.5" footer="0.5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91540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0.74564</cdr:x>
      <cdr:y>0.87268</cdr:y>
    </cdr:from>
    <cdr:to>
      <cdr:x>0.96159</cdr:x>
      <cdr:y>0.97651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84925" y="5070475"/>
          <a:ext cx="1849174" cy="603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(not including sale of bonds and notes)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0.74676</cdr:x>
      <cdr:y>0.84809</cdr:y>
    </cdr:from>
    <cdr:to>
      <cdr:x>0.96271</cdr:x>
      <cdr:y>0.95192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94450" y="4927600"/>
          <a:ext cx="1849174" cy="603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(not including sale of bonds and notes)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0.76552</cdr:x>
      <cdr:y>0.85792</cdr:y>
    </cdr:from>
    <cdr:to>
      <cdr:x>0.98147</cdr:x>
      <cdr:y>0.96175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56376" y="4984742"/>
          <a:ext cx="1849456" cy="603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(not including sale of bonds and notes)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10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0.76552</cdr:x>
      <cdr:y>0.85792</cdr:y>
    </cdr:from>
    <cdr:to>
      <cdr:x>0.98147</cdr:x>
      <cdr:y>0.96175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56376" y="4984742"/>
          <a:ext cx="1849456" cy="603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/>
            <a:t>(not including sale of bonds and notes)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20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12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0.74267</cdr:x>
      <cdr:y>0.06498</cdr:y>
    </cdr:from>
    <cdr:to>
      <cdr:x>0.84933</cdr:x>
      <cdr:y>0.11552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31781" y="428625"/>
          <a:ext cx="9525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0.772</cdr:x>
      <cdr:y>0.15162</cdr:y>
    </cdr:from>
    <cdr:to>
      <cdr:x>0.84667</cdr:x>
      <cdr:y>0.19675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93719" y="1000125"/>
          <a:ext cx="666750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54.8%</a:t>
          </a:r>
        </a:p>
      </cdr:txBody>
    </cdr:sp>
  </cdr:relSizeAnchor>
  <cdr:relSizeAnchor xmlns:cdr="http://schemas.openxmlformats.org/drawingml/2006/chartDrawing">
    <cdr:from>
      <cdr:x>0.69102</cdr:x>
      <cdr:y>0.46799</cdr:y>
    </cdr:from>
    <cdr:to>
      <cdr:x>0.76569</cdr:x>
      <cdr:y>0.51312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70613" y="3086894"/>
          <a:ext cx="666750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28.5%</a:t>
          </a:r>
        </a:p>
      </cdr:txBody>
    </cdr:sp>
  </cdr:relSizeAnchor>
  <cdr:relSizeAnchor xmlns:cdr="http://schemas.openxmlformats.org/drawingml/2006/chartDrawing">
    <cdr:from>
      <cdr:x>0.92533</cdr:x>
      <cdr:y>0.542</cdr:y>
    </cdr:from>
    <cdr:to>
      <cdr:x>1</cdr:x>
      <cdr:y>0.58712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262938" y="3575050"/>
          <a:ext cx="666750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19.9%</a:t>
          </a:r>
        </a:p>
      </cdr:txBody>
    </cdr:sp>
  </cdr:relSizeAnchor>
  <cdr:relSizeAnchor xmlns:cdr="http://schemas.openxmlformats.org/drawingml/2006/chartDrawing">
    <cdr:from>
      <cdr:x>0.92533</cdr:x>
      <cdr:y>0.40842</cdr:y>
    </cdr:from>
    <cdr:to>
      <cdr:x>1</cdr:x>
      <cdr:y>0.45355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262938" y="2693988"/>
          <a:ext cx="666750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31.5%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941594" cy="65841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617" cy="62797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044679" cy="65860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0.41044</cdr:x>
      <cdr:y>0.41409</cdr:y>
    </cdr:from>
    <cdr:to>
      <cdr:x>0.51485</cdr:x>
      <cdr:y>0.50927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2309" y="2727244"/>
          <a:ext cx="944358" cy="6268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0.24279</cdr:x>
      <cdr:y>0.34876</cdr:y>
    </cdr:from>
    <cdr:to>
      <cdr:x>0.49955</cdr:x>
      <cdr:y>0.42522</cdr:y>
    </cdr:to>
    <cdr:sp macro="" textlink="">
      <cdr:nvSpPr>
        <cdr:cNvPr id="205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5996" y="2296987"/>
          <a:ext cx="2322273" cy="50352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CC" mc:Ignorable="a14" a14:legacySpreadsheetColorIndex="42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11.2% compound annual growth rate 1942/43 - 1989/90 </a:t>
          </a:r>
        </a:p>
      </cdr:txBody>
    </cdr:sp>
  </cdr:relSizeAnchor>
  <cdr:relSizeAnchor xmlns:cdr="http://schemas.openxmlformats.org/drawingml/2006/chartDrawing">
    <cdr:from>
      <cdr:x>0.83985</cdr:x>
      <cdr:y>0.15937</cdr:y>
    </cdr:from>
    <cdr:to>
      <cdr:x>0.92349</cdr:x>
      <cdr:y>0.21137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96174" y="1049625"/>
          <a:ext cx="756518" cy="3424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0.81881</cdr:x>
      <cdr:y>0.27441</cdr:y>
    </cdr:from>
    <cdr:to>
      <cdr:x>0.83258</cdr:x>
      <cdr:y>0.52814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05874" y="1807308"/>
          <a:ext cx="124575" cy="16710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0.653</cdr:x>
      <cdr:y>0.50875</cdr:y>
    </cdr:from>
    <cdr:to>
      <cdr:x>0.89289</cdr:x>
      <cdr:y>0.58096</cdr:y>
    </cdr:to>
    <cdr:sp macro="" textlink="">
      <cdr:nvSpPr>
        <cdr:cNvPr id="2058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6175" y="3350673"/>
          <a:ext cx="2169722" cy="475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CC" mc:Ignorable="a14" a14:legacySpreadsheetColorIndex="42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5.5% compound annual growth rate 1989/90 - 2008/09</a:t>
          </a:r>
        </a:p>
      </cdr:txBody>
    </cdr:sp>
  </cdr:relSizeAnchor>
  <cdr:relSizeAnchor xmlns:cdr="http://schemas.openxmlformats.org/drawingml/2006/chartDrawing">
    <cdr:from>
      <cdr:x>0.64357</cdr:x>
      <cdr:y>0.14833</cdr:y>
    </cdr:from>
    <cdr:to>
      <cdr:x>0.87039</cdr:x>
      <cdr:y>0.22373</cdr:y>
    </cdr:to>
    <cdr:sp macro="" textlink="">
      <cdr:nvSpPr>
        <cdr:cNvPr id="205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0869" y="976932"/>
          <a:ext cx="2051514" cy="4965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CC" mc:Ignorable="a14" a14:legacySpreadsheetColorIndex="42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2.2% compound annual growth rate 2008/09 - 2018/19</a:t>
          </a:r>
        </a:p>
      </cdr:txBody>
    </cdr:sp>
  </cdr:relSizeAnchor>
  <cdr:relSizeAnchor xmlns:cdr="http://schemas.openxmlformats.org/drawingml/2006/chartDrawing">
    <cdr:from>
      <cdr:x>0.75518</cdr:x>
      <cdr:y>0.23733</cdr:y>
    </cdr:from>
    <cdr:to>
      <cdr:x>0.88659</cdr:x>
      <cdr:y>0.31273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ADEB276-07E8-4D22-B41A-2A4D96E2BBA8}"/>
            </a:ext>
          </a:extLst>
        </cdr:cNvPr>
        <cdr:cNvCxnSpPr/>
      </cdr:nvCxnSpPr>
      <cdr:spPr bwMode="auto">
        <a:xfrm xmlns:a="http://schemas.openxmlformats.org/drawingml/2006/main" flipV="1">
          <a:off x="6830351" y="1563075"/>
          <a:ext cx="1188561" cy="49659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0.42394</cdr:x>
      <cdr:y>0.28059</cdr:y>
    </cdr:from>
    <cdr:to>
      <cdr:x>0.75698</cdr:x>
      <cdr:y>0.61681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8F6D3967-E13C-44E5-BE35-54B0A84F217A}"/>
            </a:ext>
          </a:extLst>
        </cdr:cNvPr>
        <cdr:cNvCxnSpPr/>
      </cdr:nvCxnSpPr>
      <cdr:spPr bwMode="auto">
        <a:xfrm xmlns:a="http://schemas.openxmlformats.org/drawingml/2006/main" flipV="1">
          <a:off x="3834423" y="1848020"/>
          <a:ext cx="3012215" cy="2214352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0.89199</cdr:x>
      <cdr:y>0.21014</cdr:y>
    </cdr:from>
    <cdr:to>
      <cdr:x>0.9586</cdr:x>
      <cdr:y>0.21879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C51DEC1A-0D66-4DAF-9621-C116A3744B7E}"/>
            </a:ext>
          </a:extLst>
        </cdr:cNvPr>
        <cdr:cNvCxnSpPr/>
      </cdr:nvCxnSpPr>
      <cdr:spPr bwMode="auto">
        <a:xfrm xmlns:a="http://schemas.openxmlformats.org/drawingml/2006/main" flipV="1">
          <a:off x="8067764" y="1383978"/>
          <a:ext cx="602466" cy="5697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55182" cy="65116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0.30033</cdr:x>
      <cdr:y>0.15978</cdr:y>
    </cdr:from>
    <cdr:to>
      <cdr:x>0.63008</cdr:x>
      <cdr:y>0.27178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1040" y="1042483"/>
          <a:ext cx="2822856" cy="73075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US spending on elementary and secondary schools as % of US Gross Domestic Product</a:t>
          </a:r>
        </a:p>
      </cdr:txBody>
    </cdr:sp>
  </cdr:relSizeAnchor>
  <cdr:relSizeAnchor xmlns:cdr="http://schemas.openxmlformats.org/drawingml/2006/chartDrawing">
    <cdr:from>
      <cdr:x>0.50359</cdr:x>
      <cdr:y>0.63677</cdr:y>
    </cdr:from>
    <cdr:to>
      <cdr:x>0.80884</cdr:x>
      <cdr:y>0.74052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1066" y="4154681"/>
          <a:ext cx="2613121" cy="676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NH spending on elementary and secondary schools as % of NH Gross Domestic Product</a:t>
          </a:r>
        </a:p>
      </cdr:txBody>
    </cdr:sp>
  </cdr:relSizeAnchor>
  <cdr:relSizeAnchor xmlns:cdr="http://schemas.openxmlformats.org/drawingml/2006/chartDrawing">
    <cdr:from>
      <cdr:x>0.40334</cdr:x>
      <cdr:y>0.54197</cdr:y>
    </cdr:from>
    <cdr:to>
      <cdr:x>0.50348</cdr:x>
      <cdr:y>0.66241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7C84FDB3-A1C1-461C-91DE-279CD5F22978}"/>
            </a:ext>
          </a:extLst>
        </cdr:cNvPr>
        <cdr:cNvCxnSpPr/>
      </cdr:nvCxnSpPr>
      <cdr:spPr bwMode="auto">
        <a:xfrm xmlns:a="http://schemas.openxmlformats.org/drawingml/2006/main" flipH="1" flipV="1">
          <a:off x="3452813" y="3536156"/>
          <a:ext cx="857250" cy="785813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0.31989</cdr:x>
      <cdr:y>0.2719</cdr:y>
    </cdr:from>
    <cdr:to>
      <cdr:x>0.363</cdr:x>
      <cdr:y>0.4562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DBCB0FB5-356B-4E24-B2A7-057A1C658B57}"/>
            </a:ext>
          </a:extLst>
        </cdr:cNvPr>
        <cdr:cNvCxnSpPr/>
      </cdr:nvCxnSpPr>
      <cdr:spPr bwMode="auto">
        <a:xfrm xmlns:a="http://schemas.openxmlformats.org/drawingml/2006/main">
          <a:off x="2738438" y="1774031"/>
          <a:ext cx="369093" cy="1202532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3910" cy="62685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0.33236</cdr:x>
      <cdr:y>0.28264</cdr:y>
    </cdr:from>
    <cdr:to>
      <cdr:x>0.60721</cdr:x>
      <cdr:y>0.34859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4359" y="1770133"/>
          <a:ext cx="2377036" cy="413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/>
            <a:t>Total School Spending</a:t>
          </a:r>
        </a:p>
      </cdr:txBody>
    </cdr:sp>
  </cdr:relSizeAnchor>
  <cdr:relSizeAnchor xmlns:cdr="http://schemas.openxmlformats.org/drawingml/2006/chartDrawing">
    <cdr:from>
      <cdr:x>0.53216</cdr:x>
      <cdr:y>0.62932</cdr:y>
    </cdr:from>
    <cdr:to>
      <cdr:x>0.85773</cdr:x>
      <cdr:y>0.69527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605265" y="3944953"/>
          <a:ext cx="2817453" cy="413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/>
            <a:t>Special Education Services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bea.gov/iTable/index_regional.cfm" TargetMode="External"/><Relationship Id="rId1" Type="http://schemas.openxmlformats.org/officeDocument/2006/relationships/hyperlink" Target="https://apps.bea.gov/iTable/index_regional.cf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M111"/>
  <sheetViews>
    <sheetView showOutlineSymbols="0" workbookViewId="0">
      <pane xSplit="1" ySplit="2" topLeftCell="B84" activePane="bottomRight" state="frozenSplit"/>
      <selection activeCell="E81" sqref="E81"/>
      <selection pane="topRight"/>
      <selection pane="bottomLeft"/>
      <selection pane="bottomRight" activeCell="K109" sqref="K109"/>
    </sheetView>
  </sheetViews>
  <sheetFormatPr defaultColWidth="9.109375" defaultRowHeight="13.2" x14ac:dyDescent="0.25"/>
  <cols>
    <col min="1" max="1" width="9.109375" style="1"/>
    <col min="2" max="2" width="15" style="18" bestFit="1" customWidth="1"/>
    <col min="3" max="3" width="13.33203125" style="18" customWidth="1"/>
    <col min="4" max="4" width="14.88671875" style="18" customWidth="1"/>
    <col min="5" max="5" width="13.33203125" style="18" customWidth="1"/>
    <col min="6" max="6" width="14.88671875" style="18" bestFit="1" customWidth="1"/>
    <col min="7" max="7" width="14.88671875" style="18" customWidth="1"/>
    <col min="8" max="10" width="13.33203125" style="18" customWidth="1"/>
    <col min="11" max="11" width="12.33203125" style="18" customWidth="1"/>
    <col min="12" max="12" width="16" style="18" customWidth="1"/>
    <col min="13" max="13" width="16.88671875" style="18" customWidth="1"/>
    <col min="14" max="14" width="3.44140625" style="18" customWidth="1"/>
    <col min="15" max="15" width="18" style="18" customWidth="1"/>
    <col min="16" max="16" width="10.6640625" style="1" customWidth="1"/>
    <col min="17" max="17" width="12.44140625" style="1" customWidth="1"/>
    <col min="18" max="18" width="12.5546875" style="1" customWidth="1"/>
    <col min="19" max="19" width="13.33203125" style="1" customWidth="1"/>
    <col min="20" max="20" width="9.109375" style="1"/>
    <col min="21" max="21" width="16.33203125" style="189" customWidth="1"/>
    <col min="22" max="22" width="10.88671875" style="1" customWidth="1"/>
    <col min="23" max="23" width="11.5546875" style="1" customWidth="1"/>
    <col min="24" max="24" width="9.109375" style="1"/>
    <col min="25" max="25" width="19.5546875" style="1" customWidth="1"/>
    <col min="26" max="26" width="11.44140625" style="183" bestFit="1" customWidth="1"/>
    <col min="27" max="27" width="13.5546875" style="1" customWidth="1"/>
    <col min="28" max="28" width="15.109375" style="1" customWidth="1"/>
    <col min="29" max="34" width="9.109375" style="1"/>
    <col min="35" max="35" width="11.44140625" style="1" bestFit="1" customWidth="1"/>
    <col min="36" max="16384" width="9.109375" style="1"/>
  </cols>
  <sheetData>
    <row r="1" spans="1:27" ht="17.399999999999999" x14ac:dyDescent="0.3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T1" s="10"/>
      <c r="U1" s="187" t="s">
        <v>269</v>
      </c>
      <c r="W1" s="186" t="s">
        <v>269</v>
      </c>
    </row>
    <row r="2" spans="1:27" s="7" customFormat="1" ht="79.2" x14ac:dyDescent="0.25">
      <c r="A2" s="11" t="s">
        <v>1</v>
      </c>
      <c r="B2" s="12" t="s">
        <v>118</v>
      </c>
      <c r="C2" s="12" t="s">
        <v>2</v>
      </c>
      <c r="D2" s="12" t="s">
        <v>111</v>
      </c>
      <c r="E2" s="12" t="s">
        <v>112</v>
      </c>
      <c r="F2" s="12" t="s">
        <v>91</v>
      </c>
      <c r="G2" s="12"/>
      <c r="H2" s="12" t="s">
        <v>92</v>
      </c>
      <c r="I2" s="12" t="s">
        <v>113</v>
      </c>
      <c r="J2" s="12" t="s">
        <v>114</v>
      </c>
      <c r="K2" s="12" t="s">
        <v>117</v>
      </c>
      <c r="L2" s="12" t="s">
        <v>3</v>
      </c>
      <c r="M2" s="12" t="s">
        <v>4</v>
      </c>
      <c r="N2" s="12"/>
      <c r="O2" s="12"/>
      <c r="P2" s="13" t="s">
        <v>5</v>
      </c>
      <c r="Q2" s="13" t="s">
        <v>6</v>
      </c>
      <c r="R2" s="13" t="s">
        <v>129</v>
      </c>
      <c r="S2" s="13" t="s">
        <v>128</v>
      </c>
      <c r="T2" s="14" t="s">
        <v>7</v>
      </c>
      <c r="U2" s="188" t="s">
        <v>270</v>
      </c>
      <c r="V2" s="13" t="s">
        <v>142</v>
      </c>
      <c r="W2" s="13" t="s">
        <v>268</v>
      </c>
      <c r="X2" s="13" t="s">
        <v>143</v>
      </c>
      <c r="Y2" s="26"/>
      <c r="Z2" s="184"/>
    </row>
    <row r="3" spans="1:27" x14ac:dyDescent="0.25">
      <c r="A3" s="15" t="s">
        <v>8</v>
      </c>
      <c r="L3" s="18">
        <f t="shared" ref="L3:L31" si="0">SUM(B3:K3)</f>
        <v>0</v>
      </c>
      <c r="M3" s="18">
        <f t="shared" ref="M3:M31" si="1">L3-J3</f>
        <v>0</v>
      </c>
      <c r="Q3" s="16"/>
      <c r="R3" s="16"/>
      <c r="S3" s="16"/>
      <c r="T3" s="17">
        <v>10.9</v>
      </c>
    </row>
    <row r="4" spans="1:27" x14ac:dyDescent="0.25">
      <c r="A4" s="15" t="s">
        <v>9</v>
      </c>
      <c r="L4" s="18">
        <f t="shared" si="0"/>
        <v>0</v>
      </c>
      <c r="M4" s="18">
        <f t="shared" si="1"/>
        <v>0</v>
      </c>
      <c r="Q4" s="16"/>
      <c r="R4" s="16"/>
      <c r="S4" s="16"/>
      <c r="T4" s="17">
        <v>12.8</v>
      </c>
    </row>
    <row r="5" spans="1:27" x14ac:dyDescent="0.25">
      <c r="A5" s="15" t="s">
        <v>10</v>
      </c>
      <c r="L5" s="18">
        <f t="shared" si="0"/>
        <v>0</v>
      </c>
      <c r="M5" s="18">
        <f t="shared" si="1"/>
        <v>0</v>
      </c>
      <c r="Q5" s="16"/>
      <c r="R5" s="16"/>
      <c r="S5" s="16"/>
      <c r="T5" s="17">
        <v>15.1</v>
      </c>
    </row>
    <row r="6" spans="1:27" x14ac:dyDescent="0.25">
      <c r="A6" s="15" t="s">
        <v>11</v>
      </c>
      <c r="L6" s="18">
        <f t="shared" si="0"/>
        <v>0</v>
      </c>
      <c r="M6" s="18">
        <f t="shared" si="1"/>
        <v>0</v>
      </c>
      <c r="Q6" s="16"/>
      <c r="R6" s="16"/>
      <c r="S6" s="16"/>
      <c r="T6" s="17">
        <v>17.3</v>
      </c>
    </row>
    <row r="7" spans="1:27" x14ac:dyDescent="0.25">
      <c r="A7" s="15" t="s">
        <v>12</v>
      </c>
      <c r="B7" s="18">
        <v>3349013</v>
      </c>
      <c r="C7" s="18">
        <f>20076+54741</f>
        <v>74817</v>
      </c>
      <c r="E7" s="18">
        <f>343447-C7-I7-J7</f>
        <v>109760</v>
      </c>
      <c r="F7" s="18">
        <v>283031</v>
      </c>
      <c r="H7" s="18">
        <f>336060-F7</f>
        <v>53029</v>
      </c>
      <c r="I7" s="18">
        <v>8281</v>
      </c>
      <c r="J7" s="18">
        <v>150589</v>
      </c>
      <c r="L7" s="18">
        <f t="shared" si="0"/>
        <v>4028520</v>
      </c>
      <c r="M7" s="18">
        <f t="shared" si="1"/>
        <v>3877931</v>
      </c>
      <c r="P7" s="16">
        <f t="shared" ref="P7:P31" si="2">I7/M7</f>
        <v>2.1354170561570076E-3</v>
      </c>
      <c r="Q7" s="16">
        <f t="shared" ref="Q7:Q31" si="3">F7/M7</f>
        <v>7.2985053112084766E-2</v>
      </c>
      <c r="R7" s="16">
        <f>(F7+H7)/M7</f>
        <v>8.6659613077179565E-2</v>
      </c>
      <c r="S7" s="16">
        <f t="shared" ref="S7:S31" si="4">(F7+H7)/M7</f>
        <v>8.6659613077179565E-2</v>
      </c>
      <c r="T7" s="17">
        <v>20</v>
      </c>
      <c r="V7" s="192"/>
    </row>
    <row r="8" spans="1:27" x14ac:dyDescent="0.25">
      <c r="A8" s="19" t="s">
        <v>13</v>
      </c>
      <c r="B8" s="18">
        <v>3935669</v>
      </c>
      <c r="C8" s="18">
        <f>22650+62334</f>
        <v>84984</v>
      </c>
      <c r="E8" s="18">
        <f>322310-C8-I8-J8</f>
        <v>106989</v>
      </c>
      <c r="F8" s="18">
        <v>536549</v>
      </c>
      <c r="I8" s="18">
        <f>799+4419</f>
        <v>5218</v>
      </c>
      <c r="J8" s="18">
        <v>125119</v>
      </c>
      <c r="L8" s="18">
        <f t="shared" si="0"/>
        <v>4794528</v>
      </c>
      <c r="M8" s="18">
        <f t="shared" si="1"/>
        <v>4669409</v>
      </c>
      <c r="P8" s="16">
        <f t="shared" si="2"/>
        <v>1.11748617437453E-3</v>
      </c>
      <c r="Q8" s="16">
        <f t="shared" si="3"/>
        <v>0.11490726128295893</v>
      </c>
      <c r="R8" s="16">
        <f t="shared" ref="R8:R71" si="5">(F8+H8)/M8</f>
        <v>0.11490726128295893</v>
      </c>
      <c r="S8" s="16">
        <f t="shared" si="4"/>
        <v>0.11490726128295893</v>
      </c>
      <c r="T8" s="17">
        <v>17.899999999999999</v>
      </c>
      <c r="V8" s="192"/>
    </row>
    <row r="9" spans="1:27" x14ac:dyDescent="0.25">
      <c r="A9" s="19" t="s">
        <v>14</v>
      </c>
      <c r="B9" s="18">
        <v>4405398</v>
      </c>
      <c r="C9" s="18">
        <f>34702+72844</f>
        <v>107546</v>
      </c>
      <c r="E9" s="18">
        <f>453786-C9-I9-J9</f>
        <v>106510</v>
      </c>
      <c r="F9" s="18">
        <v>336154</v>
      </c>
      <c r="I9" s="18">
        <f>1264+8138</f>
        <v>9402</v>
      </c>
      <c r="J9" s="18">
        <v>230328</v>
      </c>
      <c r="L9" s="18">
        <f t="shared" si="0"/>
        <v>5195338</v>
      </c>
      <c r="M9" s="18">
        <f t="shared" si="1"/>
        <v>4965010</v>
      </c>
      <c r="P9" s="16">
        <f t="shared" si="2"/>
        <v>1.8936517751223059E-3</v>
      </c>
      <c r="Q9" s="16">
        <f t="shared" si="3"/>
        <v>6.7704596768183745E-2</v>
      </c>
      <c r="R9" s="16">
        <f t="shared" si="5"/>
        <v>6.7704596768183745E-2</v>
      </c>
      <c r="S9" s="16">
        <f t="shared" si="4"/>
        <v>6.7704596768183745E-2</v>
      </c>
      <c r="T9" s="17">
        <v>16.8</v>
      </c>
      <c r="V9" s="192"/>
    </row>
    <row r="10" spans="1:27" x14ac:dyDescent="0.25">
      <c r="A10" s="19" t="s">
        <v>15</v>
      </c>
      <c r="B10" s="18">
        <v>4710827</v>
      </c>
      <c r="C10" s="18">
        <f>74121+27247</f>
        <v>101368</v>
      </c>
      <c r="E10" s="18">
        <f>520670-C10-I10-J10</f>
        <v>139462</v>
      </c>
      <c r="F10" s="18">
        <v>323044</v>
      </c>
      <c r="I10" s="18">
        <f>10671+566</f>
        <v>11237</v>
      </c>
      <c r="J10" s="18">
        <v>268603</v>
      </c>
      <c r="L10" s="18">
        <f t="shared" si="0"/>
        <v>5554541</v>
      </c>
      <c r="M10" s="18">
        <f t="shared" si="1"/>
        <v>5285938</v>
      </c>
      <c r="P10" s="16">
        <f t="shared" si="2"/>
        <v>2.1258289446452077E-3</v>
      </c>
      <c r="Q10" s="16">
        <f t="shared" si="3"/>
        <v>6.1113845830200811E-2</v>
      </c>
      <c r="R10" s="16">
        <f t="shared" si="5"/>
        <v>6.1113845830200811E-2</v>
      </c>
      <c r="S10" s="16">
        <f t="shared" si="4"/>
        <v>6.1113845830200811E-2</v>
      </c>
      <c r="T10" s="17">
        <v>17.100000000000001</v>
      </c>
      <c r="V10" s="192"/>
    </row>
    <row r="11" spans="1:27" x14ac:dyDescent="0.25">
      <c r="A11" s="19" t="s">
        <v>16</v>
      </c>
      <c r="B11" s="18">
        <v>5466642</v>
      </c>
      <c r="C11" s="18">
        <f>34716+92998</f>
        <v>127714</v>
      </c>
      <c r="E11" s="18">
        <f>571042-C11-I11-J11</f>
        <v>143254</v>
      </c>
      <c r="F11" s="18">
        <v>333391</v>
      </c>
      <c r="I11" s="18">
        <f>1154+11100</f>
        <v>12254</v>
      </c>
      <c r="J11" s="18">
        <v>287820</v>
      </c>
      <c r="L11" s="18">
        <f t="shared" si="0"/>
        <v>6371075</v>
      </c>
      <c r="M11" s="18">
        <f t="shared" si="1"/>
        <v>6083255</v>
      </c>
      <c r="P11" s="16">
        <f t="shared" si="2"/>
        <v>2.014382103002422E-3</v>
      </c>
      <c r="Q11" s="16">
        <f t="shared" si="3"/>
        <v>5.4804705704429621E-2</v>
      </c>
      <c r="R11" s="16">
        <f t="shared" si="5"/>
        <v>5.4804705704429621E-2</v>
      </c>
      <c r="S11" s="16">
        <f t="shared" si="4"/>
        <v>5.4804705704429621E-2</v>
      </c>
      <c r="T11" s="17">
        <v>17.100000000000001</v>
      </c>
      <c r="V11" s="192"/>
    </row>
    <row r="12" spans="1:27" x14ac:dyDescent="0.25">
      <c r="A12" s="19" t="s">
        <v>17</v>
      </c>
      <c r="B12" s="18">
        <v>5377643</v>
      </c>
      <c r="C12" s="18">
        <f>32484+95898</f>
        <v>128382</v>
      </c>
      <c r="F12" s="18">
        <v>338548</v>
      </c>
      <c r="I12" s="18">
        <v>15889</v>
      </c>
      <c r="J12" s="18">
        <v>376575</v>
      </c>
      <c r="L12" s="18">
        <f t="shared" si="0"/>
        <v>6237037</v>
      </c>
      <c r="M12" s="18">
        <f t="shared" si="1"/>
        <v>5860462</v>
      </c>
      <c r="P12" s="16">
        <f t="shared" si="2"/>
        <v>2.7112196956485682E-3</v>
      </c>
      <c r="Q12" s="16">
        <f t="shared" si="3"/>
        <v>5.7768141829091291E-2</v>
      </c>
      <c r="R12" s="16">
        <f t="shared" si="5"/>
        <v>5.7768141829091291E-2</v>
      </c>
      <c r="S12" s="16">
        <f t="shared" si="4"/>
        <v>5.7768141829091291E-2</v>
      </c>
      <c r="T12" s="17">
        <v>17.5</v>
      </c>
      <c r="V12" s="192"/>
    </row>
    <row r="13" spans="1:27" x14ac:dyDescent="0.25">
      <c r="A13" s="19" t="s">
        <v>18</v>
      </c>
      <c r="B13" s="18">
        <v>6124200</v>
      </c>
      <c r="F13" s="18">
        <v>349399</v>
      </c>
      <c r="I13" s="18">
        <v>14831</v>
      </c>
      <c r="J13" s="18">
        <v>915653</v>
      </c>
      <c r="L13" s="18">
        <f t="shared" si="0"/>
        <v>7404083</v>
      </c>
      <c r="M13" s="18">
        <f t="shared" si="1"/>
        <v>6488430</v>
      </c>
      <c r="P13" s="16">
        <f t="shared" si="2"/>
        <v>2.2857609622050326E-3</v>
      </c>
      <c r="Q13" s="16">
        <f t="shared" si="3"/>
        <v>5.3849544496896787E-2</v>
      </c>
      <c r="R13" s="16">
        <f t="shared" si="5"/>
        <v>5.3849544496896787E-2</v>
      </c>
      <c r="S13" s="16">
        <f t="shared" si="4"/>
        <v>5.3849544496896787E-2</v>
      </c>
      <c r="T13" s="17">
        <v>17.7</v>
      </c>
      <c r="V13" s="192"/>
    </row>
    <row r="14" spans="1:27" x14ac:dyDescent="0.25">
      <c r="A14" s="19" t="s">
        <v>19</v>
      </c>
      <c r="B14" s="18">
        <v>6247338</v>
      </c>
      <c r="F14" s="18">
        <v>349788</v>
      </c>
      <c r="I14" s="18">
        <v>19974</v>
      </c>
      <c r="J14" s="18">
        <v>372165</v>
      </c>
      <c r="L14" s="18">
        <f t="shared" si="0"/>
        <v>6989265</v>
      </c>
      <c r="M14" s="18">
        <f t="shared" si="1"/>
        <v>6617100</v>
      </c>
      <c r="P14" s="16">
        <f t="shared" si="2"/>
        <v>3.0185428662102736E-3</v>
      </c>
      <c r="Q14" s="16">
        <f t="shared" si="3"/>
        <v>5.2861223194450739E-2</v>
      </c>
      <c r="R14" s="16">
        <f t="shared" si="5"/>
        <v>5.2861223194450739E-2</v>
      </c>
      <c r="S14" s="16">
        <f t="shared" si="4"/>
        <v>5.2861223194450739E-2</v>
      </c>
      <c r="T14" s="17">
        <v>17.399999999999999</v>
      </c>
      <c r="V14" s="192"/>
    </row>
    <row r="15" spans="1:27" x14ac:dyDescent="0.25">
      <c r="A15" s="19" t="s">
        <v>20</v>
      </c>
      <c r="B15" s="18">
        <v>6536390</v>
      </c>
      <c r="F15" s="18">
        <v>334935</v>
      </c>
      <c r="I15" s="18">
        <v>17779</v>
      </c>
      <c r="J15" s="18">
        <v>279507</v>
      </c>
      <c r="L15" s="18">
        <f t="shared" si="0"/>
        <v>7168611</v>
      </c>
      <c r="M15" s="18">
        <f t="shared" si="1"/>
        <v>6889104</v>
      </c>
      <c r="P15" s="16">
        <f t="shared" si="2"/>
        <v>2.5807419948951273E-3</v>
      </c>
      <c r="Q15" s="16">
        <f t="shared" si="3"/>
        <v>4.8618078635480025E-2</v>
      </c>
      <c r="R15" s="16">
        <f t="shared" si="5"/>
        <v>4.8618078635480025E-2</v>
      </c>
      <c r="S15" s="16">
        <f t="shared" si="4"/>
        <v>4.8618078635480025E-2</v>
      </c>
      <c r="T15" s="17">
        <v>17.100000000000001</v>
      </c>
      <c r="V15" s="192"/>
    </row>
    <row r="16" spans="1:27" x14ac:dyDescent="0.25">
      <c r="A16" s="19" t="s">
        <v>21</v>
      </c>
      <c r="B16" s="18">
        <v>6569001</v>
      </c>
      <c r="F16" s="18">
        <v>358727</v>
      </c>
      <c r="I16" s="18">
        <v>17344</v>
      </c>
      <c r="J16" s="18">
        <v>433619</v>
      </c>
      <c r="L16" s="18">
        <f t="shared" si="0"/>
        <v>7378691</v>
      </c>
      <c r="M16" s="18">
        <f t="shared" si="1"/>
        <v>6945072</v>
      </c>
      <c r="P16" s="16">
        <f t="shared" si="2"/>
        <v>2.4973103230607257E-3</v>
      </c>
      <c r="Q16" s="16">
        <f t="shared" si="3"/>
        <v>5.1652020310228607E-2</v>
      </c>
      <c r="R16" s="16">
        <f t="shared" si="5"/>
        <v>5.1652020310228607E-2</v>
      </c>
      <c r="S16" s="16">
        <f t="shared" si="4"/>
        <v>5.1652020310228607E-2</v>
      </c>
      <c r="T16" s="17">
        <v>17.100000000000001</v>
      </c>
      <c r="U16" s="189">
        <v>321.3</v>
      </c>
      <c r="V16" s="193">
        <f t="shared" ref="V16:V71" si="6">B16/(U16*1000000)</f>
        <v>2.0445070028011204E-2</v>
      </c>
      <c r="AA16" s="182"/>
    </row>
    <row r="17" spans="1:22" x14ac:dyDescent="0.25">
      <c r="A17" s="19" t="s">
        <v>22</v>
      </c>
      <c r="B17" s="18">
        <v>6645027</v>
      </c>
      <c r="F17" s="18">
        <v>352896</v>
      </c>
      <c r="I17" s="18">
        <v>16289</v>
      </c>
      <c r="J17" s="18">
        <v>68686</v>
      </c>
      <c r="L17" s="18">
        <f t="shared" si="0"/>
        <v>7082898</v>
      </c>
      <c r="M17" s="18">
        <f t="shared" si="1"/>
        <v>7014212</v>
      </c>
      <c r="P17" s="16">
        <f t="shared" si="2"/>
        <v>2.3222850977415569E-3</v>
      </c>
      <c r="Q17" s="16">
        <f t="shared" si="3"/>
        <v>5.031156742909966E-2</v>
      </c>
      <c r="R17" s="16">
        <f t="shared" si="5"/>
        <v>5.031156742909966E-2</v>
      </c>
      <c r="S17" s="16">
        <f t="shared" si="4"/>
        <v>5.031156742909966E-2</v>
      </c>
      <c r="T17" s="17">
        <v>16.7</v>
      </c>
      <c r="U17" s="189">
        <v>301.89999999999998</v>
      </c>
      <c r="V17" s="193">
        <f t="shared" si="6"/>
        <v>2.201068896985757E-2</v>
      </c>
    </row>
    <row r="18" spans="1:22" x14ac:dyDescent="0.25">
      <c r="A18" s="19" t="s">
        <v>23</v>
      </c>
      <c r="B18" s="18">
        <v>6764525</v>
      </c>
      <c r="F18" s="18">
        <v>343275</v>
      </c>
      <c r="I18" s="18">
        <v>24067</v>
      </c>
      <c r="J18" s="18">
        <v>439737</v>
      </c>
      <c r="L18" s="18">
        <f t="shared" si="0"/>
        <v>7571604</v>
      </c>
      <c r="M18" s="18">
        <f t="shared" si="1"/>
        <v>7131867</v>
      </c>
      <c r="P18" s="16">
        <f t="shared" si="2"/>
        <v>3.3745721842541373E-3</v>
      </c>
      <c r="Q18" s="16">
        <f t="shared" si="3"/>
        <v>4.8132557715952921E-2</v>
      </c>
      <c r="R18" s="16">
        <f t="shared" si="5"/>
        <v>4.8132557715952921E-2</v>
      </c>
      <c r="S18" s="16">
        <f t="shared" si="4"/>
        <v>4.8132557715952921E-2</v>
      </c>
      <c r="T18" s="17">
        <v>15.2</v>
      </c>
      <c r="U18" s="189">
        <v>263.3</v>
      </c>
      <c r="V18" s="193">
        <f t="shared" si="6"/>
        <v>2.5691321686289403E-2</v>
      </c>
    </row>
    <row r="19" spans="1:22" x14ac:dyDescent="0.25">
      <c r="A19" s="19" t="s">
        <v>24</v>
      </c>
      <c r="B19" s="18">
        <v>6759421</v>
      </c>
      <c r="F19" s="18">
        <v>349390</v>
      </c>
      <c r="I19" s="18">
        <v>22295</v>
      </c>
      <c r="J19" s="18">
        <v>83722</v>
      </c>
      <c r="L19" s="18">
        <f t="shared" si="0"/>
        <v>7214828</v>
      </c>
      <c r="M19" s="18">
        <f t="shared" si="1"/>
        <v>7131106</v>
      </c>
      <c r="P19" s="16">
        <f t="shared" si="2"/>
        <v>3.1264434997881115E-3</v>
      </c>
      <c r="Q19" s="16">
        <f t="shared" si="3"/>
        <v>4.899520495137781E-2</v>
      </c>
      <c r="R19" s="16">
        <f t="shared" si="5"/>
        <v>4.899520495137781E-2</v>
      </c>
      <c r="S19" s="16">
        <f t="shared" si="4"/>
        <v>4.899520495137781E-2</v>
      </c>
      <c r="T19" s="17">
        <v>13.7</v>
      </c>
      <c r="U19" s="189">
        <v>203.8</v>
      </c>
      <c r="V19" s="193">
        <f t="shared" si="6"/>
        <v>3.3166933267909718E-2</v>
      </c>
    </row>
    <row r="20" spans="1:22" x14ac:dyDescent="0.25">
      <c r="A20" s="19" t="s">
        <v>25</v>
      </c>
      <c r="B20" s="18">
        <v>6056633</v>
      </c>
      <c r="F20" s="18">
        <v>326034</v>
      </c>
      <c r="I20" s="18">
        <v>19883</v>
      </c>
      <c r="J20" s="18">
        <v>28824</v>
      </c>
      <c r="L20" s="18">
        <f t="shared" si="0"/>
        <v>6431374</v>
      </c>
      <c r="M20" s="18">
        <f t="shared" si="1"/>
        <v>6402550</v>
      </c>
      <c r="P20" s="16">
        <f t="shared" si="2"/>
        <v>3.1054814097508025E-3</v>
      </c>
      <c r="Q20" s="16">
        <f t="shared" si="3"/>
        <v>5.0922523057219386E-2</v>
      </c>
      <c r="R20" s="16">
        <f t="shared" si="5"/>
        <v>5.0922523057219386E-2</v>
      </c>
      <c r="S20" s="16">
        <f t="shared" si="4"/>
        <v>5.0922523057219386E-2</v>
      </c>
      <c r="T20" s="17">
        <v>13</v>
      </c>
      <c r="U20" s="189">
        <v>200.5</v>
      </c>
      <c r="V20" s="193">
        <f t="shared" si="6"/>
        <v>3.0207645885286783E-2</v>
      </c>
    </row>
    <row r="21" spans="1:22" x14ac:dyDescent="0.25">
      <c r="A21" s="19" t="s">
        <v>26</v>
      </c>
      <c r="B21" s="18">
        <v>5985278</v>
      </c>
      <c r="F21" s="18">
        <v>309755</v>
      </c>
      <c r="I21" s="18">
        <v>19126</v>
      </c>
      <c r="J21" s="18">
        <v>35871</v>
      </c>
      <c r="L21" s="18">
        <f t="shared" si="0"/>
        <v>6350030</v>
      </c>
      <c r="M21" s="18">
        <f t="shared" si="1"/>
        <v>6314159</v>
      </c>
      <c r="P21" s="16">
        <f t="shared" si="2"/>
        <v>3.0290653117857817E-3</v>
      </c>
      <c r="Q21" s="16">
        <f t="shared" si="3"/>
        <v>4.9057206193255508E-2</v>
      </c>
      <c r="R21" s="16">
        <f t="shared" si="5"/>
        <v>4.9057206193255508E-2</v>
      </c>
      <c r="S21" s="16">
        <f t="shared" si="4"/>
        <v>4.9057206193255508E-2</v>
      </c>
      <c r="T21" s="17">
        <v>13.4</v>
      </c>
      <c r="U21" s="189">
        <v>230.3</v>
      </c>
      <c r="V21" s="193">
        <f t="shared" si="6"/>
        <v>2.5989049066435083E-2</v>
      </c>
    </row>
    <row r="22" spans="1:22" x14ac:dyDescent="0.25">
      <c r="A22" s="19" t="s">
        <v>27</v>
      </c>
      <c r="B22" s="18">
        <v>6239896</v>
      </c>
      <c r="F22" s="18">
        <v>290857</v>
      </c>
      <c r="I22" s="18">
        <v>17873</v>
      </c>
      <c r="J22" s="18">
        <v>80439</v>
      </c>
      <c r="L22" s="18">
        <f t="shared" si="0"/>
        <v>6629065</v>
      </c>
      <c r="M22" s="18">
        <f t="shared" si="1"/>
        <v>6548626</v>
      </c>
      <c r="P22" s="16">
        <f t="shared" si="2"/>
        <v>2.7292748127622497E-3</v>
      </c>
      <c r="Q22" s="16">
        <f t="shared" si="3"/>
        <v>4.4414965826419163E-2</v>
      </c>
      <c r="R22" s="16">
        <f t="shared" si="5"/>
        <v>4.4414965826419163E-2</v>
      </c>
      <c r="S22" s="16">
        <f t="shared" si="4"/>
        <v>4.4414965826419163E-2</v>
      </c>
      <c r="T22" s="17">
        <v>13.7</v>
      </c>
      <c r="U22" s="189">
        <v>242.2</v>
      </c>
      <c r="V22" s="193">
        <f t="shared" si="6"/>
        <v>2.5763402146985963E-2</v>
      </c>
    </row>
    <row r="23" spans="1:22" x14ac:dyDescent="0.25">
      <c r="A23" s="19" t="s">
        <v>28</v>
      </c>
      <c r="B23" s="18">
        <v>6320575</v>
      </c>
      <c r="F23" s="18">
        <v>338964</v>
      </c>
      <c r="I23" s="18">
        <v>138150</v>
      </c>
      <c r="J23" s="18">
        <v>779723</v>
      </c>
      <c r="L23" s="18">
        <f t="shared" si="0"/>
        <v>7577412</v>
      </c>
      <c r="M23" s="18">
        <f t="shared" si="1"/>
        <v>6797689</v>
      </c>
      <c r="P23" s="16">
        <f t="shared" si="2"/>
        <v>2.0323083330231789E-2</v>
      </c>
      <c r="Q23" s="16">
        <f t="shared" si="3"/>
        <v>4.9864593687648846E-2</v>
      </c>
      <c r="R23" s="16">
        <f t="shared" si="5"/>
        <v>4.9864593687648846E-2</v>
      </c>
      <c r="S23" s="16">
        <f t="shared" si="4"/>
        <v>4.9864593687648846E-2</v>
      </c>
      <c r="T23" s="17">
        <v>13.9</v>
      </c>
      <c r="U23" s="189">
        <v>260.60000000000002</v>
      </c>
      <c r="V23" s="193">
        <f t="shared" si="6"/>
        <v>2.4253933231005369E-2</v>
      </c>
    </row>
    <row r="24" spans="1:22" x14ac:dyDescent="0.25">
      <c r="A24" s="19" t="s">
        <v>29</v>
      </c>
      <c r="B24" s="18">
        <v>6385766</v>
      </c>
      <c r="E24" s="18">
        <v>286169</v>
      </c>
      <c r="F24" s="18">
        <v>350893</v>
      </c>
      <c r="H24" s="18">
        <v>0</v>
      </c>
      <c r="I24" s="18">
        <f>426567-F24</f>
        <v>75674</v>
      </c>
      <c r="L24" s="18">
        <f t="shared" si="0"/>
        <v>7098502</v>
      </c>
      <c r="M24" s="18">
        <f t="shared" si="1"/>
        <v>7098502</v>
      </c>
      <c r="P24" s="16">
        <f t="shared" si="2"/>
        <v>1.0660559086973562E-2</v>
      </c>
      <c r="Q24" s="16">
        <f t="shared" si="3"/>
        <v>4.9431978747065224E-2</v>
      </c>
      <c r="R24" s="16">
        <f t="shared" si="5"/>
        <v>4.9431978747065224E-2</v>
      </c>
      <c r="S24" s="16">
        <f t="shared" si="4"/>
        <v>4.9431978747065224E-2</v>
      </c>
      <c r="T24" s="17">
        <v>14.4</v>
      </c>
      <c r="U24" s="189">
        <v>274.3</v>
      </c>
      <c r="V24" s="193">
        <f t="shared" si="6"/>
        <v>2.3280226029894276E-2</v>
      </c>
    </row>
    <row r="25" spans="1:22" x14ac:dyDescent="0.25">
      <c r="A25" s="19" t="s">
        <v>30</v>
      </c>
      <c r="B25" s="18">
        <v>6435079</v>
      </c>
      <c r="E25" s="18">
        <f>1035443-295125</f>
        <v>740318</v>
      </c>
      <c r="F25" s="18">
        <v>339767</v>
      </c>
      <c r="H25" s="18">
        <v>0</v>
      </c>
      <c r="I25" s="18">
        <f>362384-F25</f>
        <v>22617</v>
      </c>
      <c r="L25" s="18">
        <f t="shared" si="0"/>
        <v>7537781</v>
      </c>
      <c r="M25" s="18">
        <f t="shared" si="1"/>
        <v>7537781</v>
      </c>
      <c r="P25" s="16">
        <f t="shared" si="2"/>
        <v>3.0004851560426074E-3</v>
      </c>
      <c r="Q25" s="16">
        <f t="shared" si="3"/>
        <v>4.5075201839904877E-2</v>
      </c>
      <c r="R25" s="16">
        <f t="shared" si="5"/>
        <v>4.5075201839904877E-2</v>
      </c>
      <c r="S25" s="16">
        <f t="shared" si="4"/>
        <v>4.5075201839904877E-2</v>
      </c>
      <c r="T25" s="17">
        <v>14.1</v>
      </c>
      <c r="U25" s="189">
        <v>260.60000000000002</v>
      </c>
      <c r="V25" s="193">
        <f t="shared" si="6"/>
        <v>2.4693319263238676E-2</v>
      </c>
    </row>
    <row r="26" spans="1:22" x14ac:dyDescent="0.25">
      <c r="A26" s="19" t="s">
        <v>31</v>
      </c>
      <c r="B26" s="18">
        <v>6456064</v>
      </c>
      <c r="E26" s="18">
        <f>1678344-299655</f>
        <v>1378689</v>
      </c>
      <c r="F26" s="18">
        <v>349976</v>
      </c>
      <c r="H26" s="18">
        <v>92093</v>
      </c>
      <c r="I26" s="18">
        <v>2229</v>
      </c>
      <c r="L26" s="18">
        <f t="shared" si="0"/>
        <v>8279051</v>
      </c>
      <c r="M26" s="18">
        <f t="shared" si="1"/>
        <v>8279051</v>
      </c>
      <c r="P26" s="16">
        <f t="shared" si="2"/>
        <v>2.6923375638101518E-4</v>
      </c>
      <c r="Q26" s="16">
        <f t="shared" si="3"/>
        <v>4.2272477848004558E-2</v>
      </c>
      <c r="R26" s="16">
        <f t="shared" si="5"/>
        <v>5.3396095760250784E-2</v>
      </c>
      <c r="S26" s="16">
        <f t="shared" si="4"/>
        <v>5.3396095760250784E-2</v>
      </c>
      <c r="T26" s="17">
        <v>13.9</v>
      </c>
      <c r="U26" s="189">
        <v>277.39999999999998</v>
      </c>
      <c r="V26" s="193">
        <f t="shared" si="6"/>
        <v>2.3273482335976928E-2</v>
      </c>
    </row>
    <row r="27" spans="1:22" x14ac:dyDescent="0.25">
      <c r="A27" s="19" t="s">
        <v>32</v>
      </c>
      <c r="B27" s="18">
        <v>6806763</v>
      </c>
      <c r="E27" s="18">
        <f>1353444-302323</f>
        <v>1051121</v>
      </c>
      <c r="F27" s="18">
        <v>343107</v>
      </c>
      <c r="H27" s="18">
        <v>43801</v>
      </c>
      <c r="I27" s="18">
        <v>1413</v>
      </c>
      <c r="L27" s="18">
        <f t="shared" si="0"/>
        <v>8246205</v>
      </c>
      <c r="M27" s="18">
        <f t="shared" si="1"/>
        <v>8246205</v>
      </c>
      <c r="P27" s="16">
        <f t="shared" si="2"/>
        <v>1.713515489852605E-4</v>
      </c>
      <c r="Q27" s="16">
        <f t="shared" si="3"/>
        <v>4.1607866891497362E-2</v>
      </c>
      <c r="R27" s="16">
        <f t="shared" si="5"/>
        <v>4.691952237423154E-2</v>
      </c>
      <c r="S27" s="16">
        <f t="shared" si="4"/>
        <v>4.691952237423154E-2</v>
      </c>
      <c r="T27" s="17">
        <v>14</v>
      </c>
      <c r="U27" s="189">
        <v>288.2</v>
      </c>
      <c r="V27" s="193">
        <f t="shared" si="6"/>
        <v>2.3618192227619707E-2</v>
      </c>
    </row>
    <row r="28" spans="1:22" x14ac:dyDescent="0.25">
      <c r="A28" s="19" t="s">
        <v>33</v>
      </c>
      <c r="B28" s="18">
        <v>6626797</v>
      </c>
      <c r="E28" s="18">
        <f>620258-288637</f>
        <v>331621</v>
      </c>
      <c r="F28" s="18">
        <v>345839</v>
      </c>
      <c r="I28" s="18">
        <f>389595-F28</f>
        <v>43756</v>
      </c>
      <c r="L28" s="18">
        <f t="shared" si="0"/>
        <v>7348013</v>
      </c>
      <c r="M28" s="18">
        <f t="shared" si="1"/>
        <v>7348013</v>
      </c>
      <c r="P28" s="16">
        <f t="shared" si="2"/>
        <v>5.9548071022737714E-3</v>
      </c>
      <c r="Q28" s="16">
        <f t="shared" si="3"/>
        <v>4.706564890399622E-2</v>
      </c>
      <c r="R28" s="16">
        <f t="shared" si="5"/>
        <v>4.706564890399622E-2</v>
      </c>
      <c r="S28" s="16">
        <f t="shared" si="4"/>
        <v>4.706564890399622E-2</v>
      </c>
      <c r="T28" s="17">
        <v>14.7</v>
      </c>
      <c r="U28" s="189">
        <v>353.4</v>
      </c>
      <c r="V28" s="193">
        <f t="shared" si="6"/>
        <v>1.8751547821165816E-2</v>
      </c>
    </row>
    <row r="29" spans="1:22" x14ac:dyDescent="0.25">
      <c r="A29" s="19" t="s">
        <v>34</v>
      </c>
      <c r="B29" s="18">
        <v>6776791</v>
      </c>
      <c r="E29" s="18">
        <f>729003-294357</f>
        <v>434646</v>
      </c>
      <c r="F29" s="18">
        <v>351048</v>
      </c>
      <c r="I29" s="18">
        <f>400110-F29</f>
        <v>49062</v>
      </c>
      <c r="L29" s="18">
        <f t="shared" si="0"/>
        <v>7611547</v>
      </c>
      <c r="M29" s="18">
        <f t="shared" si="1"/>
        <v>7611547</v>
      </c>
      <c r="P29" s="16">
        <f t="shared" si="2"/>
        <v>6.4457330421792049E-3</v>
      </c>
      <c r="Q29" s="16">
        <f t="shared" si="3"/>
        <v>4.6120453568768607E-2</v>
      </c>
      <c r="R29" s="16">
        <f t="shared" si="5"/>
        <v>4.6120453568768607E-2</v>
      </c>
      <c r="S29" s="16">
        <f t="shared" si="4"/>
        <v>4.6120453568768607E-2</v>
      </c>
      <c r="T29" s="17">
        <v>16.3</v>
      </c>
      <c r="U29" s="189">
        <v>419.8</v>
      </c>
      <c r="V29" s="193">
        <f t="shared" si="6"/>
        <v>1.6142903763696998E-2</v>
      </c>
    </row>
    <row r="30" spans="1:22" x14ac:dyDescent="0.25">
      <c r="A30" s="19" t="s">
        <v>35</v>
      </c>
      <c r="B30" s="18">
        <v>6807836</v>
      </c>
      <c r="E30" s="18">
        <f>508302-267990</f>
        <v>240312</v>
      </c>
      <c r="F30" s="18">
        <v>352217</v>
      </c>
      <c r="I30" s="18">
        <f>387752-F30</f>
        <v>35535</v>
      </c>
      <c r="L30" s="18">
        <f t="shared" si="0"/>
        <v>7435900</v>
      </c>
      <c r="M30" s="18">
        <f t="shared" si="1"/>
        <v>7435900</v>
      </c>
      <c r="P30" s="16">
        <f t="shared" si="2"/>
        <v>4.778843179709248E-3</v>
      </c>
      <c r="Q30" s="16">
        <f t="shared" si="3"/>
        <v>4.7367097459621567E-2</v>
      </c>
      <c r="R30" s="16">
        <f t="shared" si="5"/>
        <v>4.7367097459621567E-2</v>
      </c>
      <c r="S30" s="16">
        <f t="shared" si="4"/>
        <v>4.7367097459621567E-2</v>
      </c>
      <c r="T30" s="17">
        <v>17.3</v>
      </c>
      <c r="U30" s="189">
        <v>462.1</v>
      </c>
      <c r="V30" s="193">
        <f t="shared" si="6"/>
        <v>1.4732386929236096E-2</v>
      </c>
    </row>
    <row r="31" spans="1:22" x14ac:dyDescent="0.25">
      <c r="A31" s="19" t="s">
        <v>36</v>
      </c>
      <c r="B31" s="18">
        <v>6863125</v>
      </c>
      <c r="E31" s="18">
        <f>498491-278410</f>
        <v>220081</v>
      </c>
      <c r="F31" s="18">
        <v>396506</v>
      </c>
      <c r="I31" s="18">
        <f>464487-F31</f>
        <v>67981</v>
      </c>
      <c r="L31" s="18">
        <f t="shared" si="0"/>
        <v>7547693</v>
      </c>
      <c r="M31" s="18">
        <f t="shared" si="1"/>
        <v>7547693</v>
      </c>
      <c r="P31" s="16">
        <f t="shared" si="2"/>
        <v>9.0068581220778317E-3</v>
      </c>
      <c r="Q31" s="16">
        <f t="shared" si="3"/>
        <v>5.2533403253152984E-2</v>
      </c>
      <c r="R31" s="16">
        <f t="shared" si="5"/>
        <v>5.2533403253152984E-2</v>
      </c>
      <c r="S31" s="16">
        <f t="shared" si="4"/>
        <v>5.2533403253152984E-2</v>
      </c>
      <c r="T31" s="17">
        <v>17.600000000000001</v>
      </c>
      <c r="U31" s="189">
        <v>497.6</v>
      </c>
      <c r="V31" s="193">
        <f t="shared" si="6"/>
        <v>1.3792453778135047E-2</v>
      </c>
    </row>
    <row r="32" spans="1:22" x14ac:dyDescent="0.25">
      <c r="A32" s="19" t="s">
        <v>37</v>
      </c>
      <c r="P32" s="16"/>
      <c r="Q32" s="16"/>
      <c r="R32" s="16"/>
      <c r="S32" s="16"/>
      <c r="T32" s="17">
        <v>18</v>
      </c>
      <c r="U32" s="189">
        <v>528.29999999999995</v>
      </c>
      <c r="V32" s="193">
        <f t="shared" si="6"/>
        <v>0</v>
      </c>
    </row>
    <row r="33" spans="1:22" x14ac:dyDescent="0.25">
      <c r="A33" s="19" t="s">
        <v>38</v>
      </c>
      <c r="B33" s="18">
        <v>7675339</v>
      </c>
      <c r="E33" s="18">
        <v>549470</v>
      </c>
      <c r="F33" s="18">
        <v>396495</v>
      </c>
      <c r="H33" s="18">
        <v>0</v>
      </c>
      <c r="I33" s="18">
        <v>49528</v>
      </c>
      <c r="L33" s="18">
        <f>SUM(B33:K33)</f>
        <v>8670832</v>
      </c>
      <c r="M33" s="18">
        <f>L33-J33</f>
        <v>8670832</v>
      </c>
      <c r="P33" s="16">
        <f>I33/M33</f>
        <v>5.7120239441843645E-3</v>
      </c>
      <c r="Q33" s="16">
        <f>F33/M33</f>
        <v>4.5727445762990218E-2</v>
      </c>
      <c r="R33" s="16">
        <f t="shared" si="5"/>
        <v>4.5727445762990218E-2</v>
      </c>
      <c r="S33" s="16">
        <f>(F33+H33)/M33</f>
        <v>4.5727445762990218E-2</v>
      </c>
      <c r="T33" s="17">
        <v>19.5</v>
      </c>
      <c r="U33" s="189">
        <v>578.29999999999995</v>
      </c>
      <c r="V33" s="193">
        <f t="shared" si="6"/>
        <v>1.3272244509770015E-2</v>
      </c>
    </row>
    <row r="34" spans="1:22" x14ac:dyDescent="0.25">
      <c r="A34" s="19" t="s">
        <v>39</v>
      </c>
      <c r="P34" s="16"/>
      <c r="Q34" s="16"/>
      <c r="R34" s="16"/>
      <c r="S34" s="16"/>
      <c r="T34" s="17">
        <v>22.3</v>
      </c>
      <c r="U34" s="189">
        <v>627.79999999999995</v>
      </c>
      <c r="V34" s="193">
        <f t="shared" si="6"/>
        <v>0</v>
      </c>
    </row>
    <row r="35" spans="1:22" x14ac:dyDescent="0.25">
      <c r="A35" s="19" t="s">
        <v>40</v>
      </c>
      <c r="B35" s="18">
        <v>9758992</v>
      </c>
      <c r="E35" s="18">
        <v>1808537</v>
      </c>
      <c r="F35" s="18">
        <v>2000000</v>
      </c>
      <c r="H35" s="18">
        <v>52218</v>
      </c>
      <c r="I35" s="18">
        <v>248610</v>
      </c>
      <c r="L35" s="18">
        <f t="shared" ref="L35:L66" si="7">SUM(B35:K35)</f>
        <v>13868357</v>
      </c>
      <c r="M35" s="18">
        <f t="shared" ref="M35:M66" si="8">L35-J35</f>
        <v>13868357</v>
      </c>
      <c r="P35" s="16">
        <f t="shared" ref="P35:P66" si="9">I35/M35</f>
        <v>1.7926420555801958E-2</v>
      </c>
      <c r="Q35" s="16">
        <f t="shared" ref="Q35:Q66" si="10">F35/M35</f>
        <v>0.14421318978160139</v>
      </c>
      <c r="R35" s="16">
        <f t="shared" si="5"/>
        <v>0.1479784519536092</v>
      </c>
      <c r="S35" s="16">
        <f t="shared" ref="S35:S66" si="11">(F35+H35)/M35</f>
        <v>0.1479784519536092</v>
      </c>
      <c r="T35" s="17">
        <v>24.1</v>
      </c>
      <c r="U35" s="189">
        <v>682.2</v>
      </c>
      <c r="V35" s="193">
        <f t="shared" si="6"/>
        <v>1.4305177367340955E-2</v>
      </c>
    </row>
    <row r="36" spans="1:22" x14ac:dyDescent="0.25">
      <c r="A36" s="19" t="s">
        <v>41</v>
      </c>
      <c r="B36" s="18">
        <v>11158029</v>
      </c>
      <c r="E36" s="18">
        <f>2628893-J36</f>
        <v>1288324</v>
      </c>
      <c r="F36" s="18">
        <v>1995050</v>
      </c>
      <c r="H36" s="18">
        <f>2061367-F36</f>
        <v>66317</v>
      </c>
      <c r="I36" s="18">
        <v>357688</v>
      </c>
      <c r="J36" s="18">
        <v>1340569</v>
      </c>
      <c r="L36" s="18">
        <f t="shared" si="7"/>
        <v>16205977</v>
      </c>
      <c r="M36" s="18">
        <f t="shared" si="8"/>
        <v>14865408</v>
      </c>
      <c r="P36" s="16">
        <f t="shared" si="9"/>
        <v>2.4061768099469586E-2</v>
      </c>
      <c r="Q36" s="16">
        <f t="shared" si="10"/>
        <v>0.13420755084556038</v>
      </c>
      <c r="R36" s="16">
        <f t="shared" si="5"/>
        <v>0.13866871329734104</v>
      </c>
      <c r="S36" s="16">
        <f t="shared" si="11"/>
        <v>0.13866871329734104</v>
      </c>
      <c r="T36" s="17">
        <v>23.8</v>
      </c>
      <c r="U36" s="189">
        <v>691.2</v>
      </c>
      <c r="V36" s="193">
        <f t="shared" si="6"/>
        <v>1.6142981770833332E-2</v>
      </c>
    </row>
    <row r="37" spans="1:22" x14ac:dyDescent="0.25">
      <c r="A37" s="19" t="s">
        <v>42</v>
      </c>
      <c r="B37" s="18">
        <v>13601885</v>
      </c>
      <c r="E37" s="18">
        <f>3647497-J37</f>
        <v>1564594</v>
      </c>
      <c r="F37" s="18">
        <v>403665</v>
      </c>
      <c r="H37" s="18">
        <f>506446-F37</f>
        <v>102781</v>
      </c>
      <c r="I37" s="18">
        <v>443014</v>
      </c>
      <c r="J37" s="18">
        <v>2082903</v>
      </c>
      <c r="L37" s="18">
        <f t="shared" si="7"/>
        <v>18198842</v>
      </c>
      <c r="M37" s="18">
        <f t="shared" si="8"/>
        <v>16115939</v>
      </c>
      <c r="P37" s="16">
        <f t="shared" si="9"/>
        <v>2.7489183224136057E-2</v>
      </c>
      <c r="Q37" s="16">
        <f t="shared" si="10"/>
        <v>2.5047563160917895E-2</v>
      </c>
      <c r="R37" s="16">
        <f t="shared" si="5"/>
        <v>3.1425162381168111E-2</v>
      </c>
      <c r="S37" s="16">
        <f t="shared" si="11"/>
        <v>3.1425162381168111E-2</v>
      </c>
      <c r="T37" s="17">
        <v>24.1</v>
      </c>
      <c r="U37" s="189">
        <v>730.4</v>
      </c>
      <c r="V37" s="193">
        <f t="shared" si="6"/>
        <v>1.8622515060240964E-2</v>
      </c>
    </row>
    <row r="38" spans="1:22" x14ac:dyDescent="0.25">
      <c r="A38" s="19" t="s">
        <v>43</v>
      </c>
      <c r="B38" s="18">
        <v>14876328</v>
      </c>
      <c r="E38" s="18">
        <f>3248362-J38</f>
        <v>735978</v>
      </c>
      <c r="F38" s="18">
        <v>396112</v>
      </c>
      <c r="H38" s="18">
        <f>490789-F38</f>
        <v>94677</v>
      </c>
      <c r="I38" s="18">
        <v>564734</v>
      </c>
      <c r="J38" s="18">
        <v>2512384</v>
      </c>
      <c r="L38" s="18">
        <f t="shared" si="7"/>
        <v>19180213</v>
      </c>
      <c r="M38" s="18">
        <f t="shared" si="8"/>
        <v>16667829</v>
      </c>
      <c r="P38" s="16">
        <f t="shared" si="9"/>
        <v>3.3881677091839618E-2</v>
      </c>
      <c r="Q38" s="16">
        <f t="shared" si="10"/>
        <v>2.3765062624532565E-2</v>
      </c>
      <c r="R38" s="16">
        <f t="shared" si="5"/>
        <v>2.9445286485720486E-2</v>
      </c>
      <c r="S38" s="16">
        <f t="shared" si="11"/>
        <v>2.9445286485720486E-2</v>
      </c>
      <c r="T38" s="17">
        <v>26</v>
      </c>
      <c r="U38" s="189">
        <v>813.7</v>
      </c>
      <c r="V38" s="193">
        <f t="shared" si="6"/>
        <v>1.828232518127074E-2</v>
      </c>
    </row>
    <row r="39" spans="1:22" x14ac:dyDescent="0.25">
      <c r="A39" s="19" t="s">
        <v>44</v>
      </c>
      <c r="B39" s="18">
        <v>16204779</v>
      </c>
      <c r="E39" s="18">
        <f>3297289-J39</f>
        <v>393454</v>
      </c>
      <c r="F39" s="18">
        <v>600000</v>
      </c>
      <c r="H39" s="18">
        <f>702668-F39</f>
        <v>102668</v>
      </c>
      <c r="I39" s="18">
        <v>579823</v>
      </c>
      <c r="J39" s="18">
        <v>2903835</v>
      </c>
      <c r="L39" s="18">
        <f t="shared" si="7"/>
        <v>20784559</v>
      </c>
      <c r="M39" s="18">
        <f t="shared" si="8"/>
        <v>17880724</v>
      </c>
      <c r="P39" s="16">
        <f t="shared" si="9"/>
        <v>3.2427266367961387E-2</v>
      </c>
      <c r="Q39" s="16">
        <f t="shared" si="10"/>
        <v>3.3555688237232449E-2</v>
      </c>
      <c r="R39" s="16">
        <f t="shared" si="5"/>
        <v>3.9297513903799423E-2</v>
      </c>
      <c r="S39" s="16">
        <f t="shared" si="11"/>
        <v>3.9297513903799423E-2</v>
      </c>
      <c r="T39" s="17">
        <v>26.5</v>
      </c>
      <c r="U39" s="189">
        <v>862.5</v>
      </c>
      <c r="V39" s="193">
        <f t="shared" si="6"/>
        <v>1.8788149565217391E-2</v>
      </c>
    </row>
    <row r="40" spans="1:22" x14ac:dyDescent="0.25">
      <c r="A40" s="19" t="s">
        <v>45</v>
      </c>
      <c r="B40" s="18">
        <v>17503621</v>
      </c>
      <c r="E40" s="18">
        <f>1144451-J40</f>
        <v>342985</v>
      </c>
      <c r="F40" s="18">
        <v>600000</v>
      </c>
      <c r="H40" s="18">
        <f>645410-F40</f>
        <v>45410</v>
      </c>
      <c r="I40" s="18">
        <v>667733</v>
      </c>
      <c r="J40" s="18">
        <v>801466</v>
      </c>
      <c r="L40" s="18">
        <f t="shared" si="7"/>
        <v>19961215</v>
      </c>
      <c r="M40" s="18">
        <f t="shared" si="8"/>
        <v>19159749</v>
      </c>
      <c r="P40" s="16">
        <f t="shared" si="9"/>
        <v>3.4850821897510244E-2</v>
      </c>
      <c r="Q40" s="16">
        <f t="shared" si="10"/>
        <v>3.1315650325064281E-2</v>
      </c>
      <c r="R40" s="16">
        <f t="shared" si="5"/>
        <v>3.368572312716623E-2</v>
      </c>
      <c r="S40" s="16">
        <f t="shared" si="11"/>
        <v>3.368572312716623E-2</v>
      </c>
      <c r="T40" s="17">
        <v>26.7</v>
      </c>
      <c r="U40" s="189">
        <v>925.5</v>
      </c>
      <c r="V40" s="193">
        <f t="shared" si="6"/>
        <v>1.8912610480821178E-2</v>
      </c>
    </row>
    <row r="41" spans="1:22" x14ac:dyDescent="0.25">
      <c r="A41" s="19" t="s">
        <v>46</v>
      </c>
      <c r="B41" s="18">
        <v>18506749</v>
      </c>
      <c r="E41" s="18">
        <f>2773261-J41</f>
        <v>490646</v>
      </c>
      <c r="F41" s="18">
        <v>900000</v>
      </c>
      <c r="H41" s="18">
        <f>956303-F41</f>
        <v>56303</v>
      </c>
      <c r="I41" s="18">
        <v>732879</v>
      </c>
      <c r="J41" s="18">
        <v>2282615</v>
      </c>
      <c r="L41" s="18">
        <f t="shared" si="7"/>
        <v>22969192</v>
      </c>
      <c r="M41" s="18">
        <f t="shared" si="8"/>
        <v>20686577</v>
      </c>
      <c r="P41" s="16">
        <f t="shared" si="9"/>
        <v>3.5427755882473932E-2</v>
      </c>
      <c r="Q41" s="16">
        <f t="shared" si="10"/>
        <v>4.3506472820515452E-2</v>
      </c>
      <c r="R41" s="16">
        <f t="shared" si="5"/>
        <v>4.622818941964154E-2</v>
      </c>
      <c r="S41" s="16">
        <f t="shared" si="11"/>
        <v>4.622818941964154E-2</v>
      </c>
      <c r="T41" s="17">
        <v>26.9</v>
      </c>
      <c r="U41" s="189">
        <v>967.5</v>
      </c>
      <c r="V41" s="193">
        <f t="shared" si="6"/>
        <v>1.9128422739018089E-2</v>
      </c>
    </row>
    <row r="42" spans="1:22" x14ac:dyDescent="0.25">
      <c r="A42" s="19" t="s">
        <v>47</v>
      </c>
      <c r="B42" s="18">
        <v>20058703</v>
      </c>
      <c r="E42" s="18">
        <f>8704406-J42</f>
        <v>446726</v>
      </c>
      <c r="F42" s="18">
        <v>900000</v>
      </c>
      <c r="H42" s="18">
        <f>951692-F42</f>
        <v>51692</v>
      </c>
      <c r="I42" s="18">
        <v>837675</v>
      </c>
      <c r="J42" s="18">
        <v>8257680</v>
      </c>
      <c r="L42" s="18">
        <f t="shared" si="7"/>
        <v>30552476</v>
      </c>
      <c r="M42" s="18">
        <f t="shared" si="8"/>
        <v>22294796</v>
      </c>
      <c r="P42" s="16">
        <f t="shared" si="9"/>
        <v>3.7572669424739295E-2</v>
      </c>
      <c r="Q42" s="16">
        <f t="shared" si="10"/>
        <v>4.0368164839902548E-2</v>
      </c>
      <c r="R42" s="16">
        <f t="shared" si="5"/>
        <v>4.2686732814240597E-2</v>
      </c>
      <c r="S42" s="16">
        <f t="shared" si="11"/>
        <v>4.2686732814240597E-2</v>
      </c>
      <c r="T42" s="17">
        <v>26.8</v>
      </c>
      <c r="U42" s="189">
        <v>1041.2</v>
      </c>
      <c r="V42" s="193">
        <f t="shared" si="6"/>
        <v>1.9264985593545909E-2</v>
      </c>
    </row>
    <row r="43" spans="1:22" x14ac:dyDescent="0.25">
      <c r="A43" s="19" t="s">
        <v>48</v>
      </c>
      <c r="B43" s="18">
        <v>22485694</v>
      </c>
      <c r="E43" s="18">
        <f>6566252-J43</f>
        <v>436453</v>
      </c>
      <c r="F43" s="18">
        <v>1150000</v>
      </c>
      <c r="H43" s="18">
        <f>1199482-F43</f>
        <v>49482</v>
      </c>
      <c r="I43" s="18">
        <v>931592</v>
      </c>
      <c r="J43" s="18">
        <v>6129799</v>
      </c>
      <c r="L43" s="18">
        <f t="shared" si="7"/>
        <v>31183020</v>
      </c>
      <c r="M43" s="18">
        <f t="shared" si="8"/>
        <v>25053221</v>
      </c>
      <c r="P43" s="16">
        <f t="shared" si="9"/>
        <v>3.7184520106217082E-2</v>
      </c>
      <c r="Q43" s="16">
        <f t="shared" si="10"/>
        <v>4.590228138729148E-2</v>
      </c>
      <c r="R43" s="16">
        <f t="shared" si="5"/>
        <v>4.7877356767818395E-2</v>
      </c>
      <c r="S43" s="16">
        <f t="shared" si="11"/>
        <v>4.7877356767818395E-2</v>
      </c>
      <c r="T43" s="17">
        <v>27.2</v>
      </c>
      <c r="U43" s="189">
        <v>1104.2</v>
      </c>
      <c r="V43" s="193">
        <f t="shared" si="6"/>
        <v>2.0363787357362797E-2</v>
      </c>
    </row>
    <row r="44" spans="1:22" x14ac:dyDescent="0.25">
      <c r="A44" s="19" t="s">
        <v>49</v>
      </c>
      <c r="B44" s="18">
        <v>24418364</v>
      </c>
      <c r="E44" s="18">
        <f>4858744-J44</f>
        <v>524631</v>
      </c>
      <c r="F44" s="18">
        <v>1149912</v>
      </c>
      <c r="H44" s="18">
        <f>1532764-F44</f>
        <v>382852</v>
      </c>
      <c r="I44" s="18">
        <v>986167</v>
      </c>
      <c r="J44" s="18">
        <v>4334113</v>
      </c>
      <c r="L44" s="18">
        <f t="shared" si="7"/>
        <v>31796039</v>
      </c>
      <c r="M44" s="18">
        <f t="shared" si="8"/>
        <v>27461926</v>
      </c>
      <c r="P44" s="16">
        <f t="shared" si="9"/>
        <v>3.5910336368978633E-2</v>
      </c>
      <c r="Q44" s="16">
        <f t="shared" si="10"/>
        <v>4.1872955305465462E-2</v>
      </c>
      <c r="R44" s="16">
        <f t="shared" si="5"/>
        <v>5.5814147922472739E-2</v>
      </c>
      <c r="S44" s="16">
        <f t="shared" si="11"/>
        <v>5.5814147922472739E-2</v>
      </c>
      <c r="T44" s="17">
        <v>28.1</v>
      </c>
      <c r="U44" s="189">
        <v>1181.4000000000001</v>
      </c>
      <c r="V44" s="193">
        <f t="shared" si="6"/>
        <v>2.0669006263754869E-2</v>
      </c>
    </row>
    <row r="45" spans="1:22" x14ac:dyDescent="0.25">
      <c r="A45" s="19" t="s">
        <v>50</v>
      </c>
      <c r="B45" s="18">
        <v>27132113</v>
      </c>
      <c r="E45" s="18">
        <f>5305308-J45</f>
        <v>622355</v>
      </c>
      <c r="F45" s="18">
        <v>1289214</v>
      </c>
      <c r="H45" s="18">
        <f>1921799-F45</f>
        <v>632585</v>
      </c>
      <c r="I45" s="18">
        <v>1319736</v>
      </c>
      <c r="J45" s="18">
        <v>4682953</v>
      </c>
      <c r="L45" s="18">
        <f t="shared" si="7"/>
        <v>35678956</v>
      </c>
      <c r="M45" s="18">
        <f t="shared" si="8"/>
        <v>30996003</v>
      </c>
      <c r="P45" s="16">
        <f t="shared" si="9"/>
        <v>4.2577618798139878E-2</v>
      </c>
      <c r="Q45" s="16">
        <f t="shared" si="10"/>
        <v>4.1592911189226561E-2</v>
      </c>
      <c r="R45" s="16">
        <f t="shared" si="5"/>
        <v>6.2001510323766586E-2</v>
      </c>
      <c r="S45" s="16">
        <f t="shared" si="11"/>
        <v>6.2001510323766586E-2</v>
      </c>
      <c r="T45" s="17">
        <v>28.9</v>
      </c>
      <c r="U45" s="189">
        <v>1203.3</v>
      </c>
      <c r="V45" s="193">
        <f t="shared" si="6"/>
        <v>2.2548086927615722E-2</v>
      </c>
    </row>
    <row r="46" spans="1:22" x14ac:dyDescent="0.25">
      <c r="A46" s="19" t="s">
        <v>51</v>
      </c>
      <c r="B46" s="18">
        <v>29761702</v>
      </c>
      <c r="E46" s="18">
        <f>4711468-J46</f>
        <v>541350</v>
      </c>
      <c r="F46" s="18">
        <v>1458693</v>
      </c>
      <c r="H46" s="18">
        <f>2234383-F46</f>
        <v>775690</v>
      </c>
      <c r="I46" s="18">
        <v>1221452</v>
      </c>
      <c r="J46" s="18">
        <v>4170118</v>
      </c>
      <c r="L46" s="18">
        <f t="shared" si="7"/>
        <v>37929005</v>
      </c>
      <c r="M46" s="18">
        <f t="shared" si="8"/>
        <v>33758887</v>
      </c>
      <c r="P46" s="16">
        <f t="shared" si="9"/>
        <v>3.6181643073718635E-2</v>
      </c>
      <c r="Q46" s="16">
        <f t="shared" si="10"/>
        <v>4.3209155562504181E-2</v>
      </c>
      <c r="R46" s="16">
        <f t="shared" si="5"/>
        <v>6.618651260629535E-2</v>
      </c>
      <c r="S46" s="16">
        <f t="shared" si="11"/>
        <v>6.618651260629535E-2</v>
      </c>
      <c r="T46" s="17">
        <v>29.1</v>
      </c>
      <c r="U46" s="189">
        <v>1309.9000000000001</v>
      </c>
      <c r="V46" s="193">
        <f t="shared" si="6"/>
        <v>2.2720590884800367E-2</v>
      </c>
    </row>
    <row r="47" spans="1:22" x14ac:dyDescent="0.25">
      <c r="A47" s="19" t="s">
        <v>52</v>
      </c>
      <c r="B47" s="18">
        <v>32758342</v>
      </c>
      <c r="E47" s="18">
        <f>9681173-J47</f>
        <v>852727</v>
      </c>
      <c r="F47" s="18">
        <v>1200322</v>
      </c>
      <c r="H47" s="18">
        <f>1954302-F47</f>
        <v>753980</v>
      </c>
      <c r="I47" s="18">
        <v>1750150</v>
      </c>
      <c r="J47" s="18">
        <v>8828446</v>
      </c>
      <c r="L47" s="18">
        <f t="shared" si="7"/>
        <v>46143967</v>
      </c>
      <c r="M47" s="18">
        <f t="shared" si="8"/>
        <v>37315521</v>
      </c>
      <c r="P47" s="16">
        <f t="shared" si="9"/>
        <v>4.6901395266596972E-2</v>
      </c>
      <c r="Q47" s="16">
        <f t="shared" si="10"/>
        <v>3.2166829454156623E-2</v>
      </c>
      <c r="R47" s="16">
        <f t="shared" si="5"/>
        <v>5.2372362695940922E-2</v>
      </c>
      <c r="S47" s="16">
        <f t="shared" si="11"/>
        <v>5.2372362695940922E-2</v>
      </c>
      <c r="T47" s="17">
        <v>29.6</v>
      </c>
      <c r="U47" s="189">
        <v>1382.9</v>
      </c>
      <c r="V47" s="193">
        <f t="shared" si="6"/>
        <v>2.3688149540820016E-2</v>
      </c>
    </row>
    <row r="48" spans="1:22" x14ac:dyDescent="0.25">
      <c r="A48" s="19" t="s">
        <v>53</v>
      </c>
      <c r="B48" s="18">
        <v>35474583</v>
      </c>
      <c r="E48" s="18">
        <f>7711822-J48</f>
        <v>1240122</v>
      </c>
      <c r="F48" s="18">
        <v>1399001</v>
      </c>
      <c r="H48" s="18">
        <f>2256134-F48</f>
        <v>857133</v>
      </c>
      <c r="I48" s="18">
        <v>2033449</v>
      </c>
      <c r="J48" s="18">
        <v>6471700</v>
      </c>
      <c r="L48" s="18">
        <f t="shared" si="7"/>
        <v>47475988</v>
      </c>
      <c r="M48" s="18">
        <f t="shared" si="8"/>
        <v>41004288</v>
      </c>
      <c r="P48" s="16">
        <f t="shared" si="9"/>
        <v>4.9591130566637324E-2</v>
      </c>
      <c r="Q48" s="16">
        <f t="shared" si="10"/>
        <v>3.411840732364381E-2</v>
      </c>
      <c r="R48" s="16">
        <f t="shared" si="5"/>
        <v>5.5021904050620268E-2</v>
      </c>
      <c r="S48" s="16">
        <f t="shared" si="11"/>
        <v>5.5021904050620268E-2</v>
      </c>
      <c r="T48" s="17">
        <v>29.9</v>
      </c>
      <c r="U48" s="189">
        <v>1456.1</v>
      </c>
      <c r="V48" s="193">
        <f t="shared" si="6"/>
        <v>2.4362738136117026E-2</v>
      </c>
    </row>
    <row r="49" spans="1:24" x14ac:dyDescent="0.25">
      <c r="A49" s="19" t="s">
        <v>54</v>
      </c>
      <c r="B49" s="18">
        <v>38597263</v>
      </c>
      <c r="E49" s="18">
        <f>11012394-J49</f>
        <v>851773</v>
      </c>
      <c r="F49" s="18">
        <v>1599400</v>
      </c>
      <c r="H49" s="18">
        <f>2596507-F49</f>
        <v>997107</v>
      </c>
      <c r="I49" s="18">
        <v>2264053</v>
      </c>
      <c r="J49" s="18">
        <v>10160621</v>
      </c>
      <c r="L49" s="18">
        <f t="shared" si="7"/>
        <v>54470217</v>
      </c>
      <c r="M49" s="18">
        <f t="shared" si="8"/>
        <v>44309596</v>
      </c>
      <c r="P49" s="16">
        <f t="shared" si="9"/>
        <v>5.1096223039361496E-2</v>
      </c>
      <c r="Q49" s="16">
        <f t="shared" si="10"/>
        <v>3.6096018568979954E-2</v>
      </c>
      <c r="R49" s="16">
        <f t="shared" si="5"/>
        <v>5.8599202755087183E-2</v>
      </c>
      <c r="S49" s="16">
        <f t="shared" si="11"/>
        <v>5.8599202755087183E-2</v>
      </c>
      <c r="T49" s="17">
        <v>30.2</v>
      </c>
      <c r="U49" s="189">
        <v>1556.9</v>
      </c>
      <c r="V49" s="193">
        <f t="shared" si="6"/>
        <v>2.4791099621041812E-2</v>
      </c>
    </row>
    <row r="50" spans="1:24" x14ac:dyDescent="0.25">
      <c r="A50" s="19" t="s">
        <v>55</v>
      </c>
      <c r="B50" s="18">
        <v>42945928</v>
      </c>
      <c r="C50" s="18">
        <f>93210+66876</f>
        <v>160086</v>
      </c>
      <c r="D50" s="18">
        <v>7320</v>
      </c>
      <c r="E50" s="18">
        <f>493383+29727+146084</f>
        <v>669194</v>
      </c>
      <c r="F50" s="18">
        <v>1797612</v>
      </c>
      <c r="H50" s="18">
        <f>3258405-F50</f>
        <v>1460793</v>
      </c>
      <c r="I50" s="18">
        <v>2366327</v>
      </c>
      <c r="J50" s="18">
        <v>8276578</v>
      </c>
      <c r="L50" s="18">
        <f t="shared" si="7"/>
        <v>57683838</v>
      </c>
      <c r="M50" s="18">
        <f t="shared" si="8"/>
        <v>49407260</v>
      </c>
      <c r="P50" s="16">
        <f t="shared" si="9"/>
        <v>4.7894317555760027E-2</v>
      </c>
      <c r="Q50" s="16">
        <f t="shared" si="10"/>
        <v>3.6383559825013574E-2</v>
      </c>
      <c r="R50" s="16">
        <f t="shared" si="5"/>
        <v>6.5949923148946127E-2</v>
      </c>
      <c r="S50" s="16">
        <f t="shared" si="11"/>
        <v>6.5949923148946127E-2</v>
      </c>
      <c r="T50" s="17">
        <v>30.6</v>
      </c>
      <c r="U50" s="189">
        <v>1624.7</v>
      </c>
      <c r="V50" s="193">
        <f t="shared" si="6"/>
        <v>2.6433143349541454E-2</v>
      </c>
    </row>
    <row r="51" spans="1:24" x14ac:dyDescent="0.25">
      <c r="A51" s="19" t="s">
        <v>56</v>
      </c>
      <c r="B51" s="18">
        <v>46908069</v>
      </c>
      <c r="C51" s="18">
        <f>102813+103700</f>
        <v>206513</v>
      </c>
      <c r="D51" s="18">
        <v>9645</v>
      </c>
      <c r="E51" s="18">
        <f>306453+39924+140634</f>
        <v>487011</v>
      </c>
      <c r="F51" s="18">
        <v>2395216</v>
      </c>
      <c r="H51" s="18">
        <f>3945433-F51</f>
        <v>1550217</v>
      </c>
      <c r="I51" s="18">
        <v>2588656</v>
      </c>
      <c r="J51" s="18">
        <v>10763390</v>
      </c>
      <c r="L51" s="18">
        <f t="shared" si="7"/>
        <v>64908717</v>
      </c>
      <c r="M51" s="18">
        <f t="shared" si="8"/>
        <v>54145327</v>
      </c>
      <c r="P51" s="16">
        <f t="shared" si="9"/>
        <v>4.7809407448956766E-2</v>
      </c>
      <c r="Q51" s="16">
        <f t="shared" si="10"/>
        <v>4.423679997352311E-2</v>
      </c>
      <c r="R51" s="16">
        <f t="shared" si="5"/>
        <v>7.2867470169678719E-2</v>
      </c>
      <c r="S51" s="16">
        <f t="shared" si="11"/>
        <v>7.2867470169678719E-2</v>
      </c>
      <c r="T51" s="17">
        <v>31</v>
      </c>
      <c r="U51" s="189">
        <v>1746.9</v>
      </c>
      <c r="V51" s="193">
        <f t="shared" si="6"/>
        <v>2.6852177571698436E-2</v>
      </c>
    </row>
    <row r="52" spans="1:24" x14ac:dyDescent="0.25">
      <c r="A52" s="19" t="s">
        <v>57</v>
      </c>
      <c r="B52" s="18">
        <v>49882146</v>
      </c>
      <c r="C52" s="18">
        <f>142365+276145</f>
        <v>418510</v>
      </c>
      <c r="D52" s="18">
        <v>9124</v>
      </c>
      <c r="E52" s="18">
        <f>393478+44750+436088</f>
        <v>874316</v>
      </c>
      <c r="F52" s="18">
        <v>2504784</v>
      </c>
      <c r="H52" s="18">
        <f>6999678-F52</f>
        <v>4494894</v>
      </c>
      <c r="I52" s="18">
        <v>2692378</v>
      </c>
      <c r="J52" s="18">
        <v>9237871</v>
      </c>
      <c r="L52" s="18">
        <f t="shared" si="7"/>
        <v>70114023</v>
      </c>
      <c r="M52" s="18">
        <f t="shared" si="8"/>
        <v>60876152</v>
      </c>
      <c r="P52" s="16">
        <f t="shared" si="9"/>
        <v>4.4227138403885972E-2</v>
      </c>
      <c r="Q52" s="16">
        <f t="shared" si="10"/>
        <v>4.1145570436186572E-2</v>
      </c>
      <c r="R52" s="16">
        <f t="shared" si="5"/>
        <v>0.11498226760456212</v>
      </c>
      <c r="S52" s="16">
        <f t="shared" si="11"/>
        <v>0.11498226760456212</v>
      </c>
      <c r="T52" s="17">
        <v>31.5</v>
      </c>
      <c r="U52" s="189">
        <v>1883.8</v>
      </c>
      <c r="V52" s="193">
        <f t="shared" si="6"/>
        <v>2.6479533920798385E-2</v>
      </c>
    </row>
    <row r="53" spans="1:24" x14ac:dyDescent="0.25">
      <c r="A53" s="19" t="s">
        <v>58</v>
      </c>
      <c r="B53" s="18">
        <v>54193689</v>
      </c>
      <c r="C53" s="18">
        <f>143579+192697</f>
        <v>336276</v>
      </c>
      <c r="D53" s="18">
        <v>9537</v>
      </c>
      <c r="E53" s="18">
        <f>524698+14498+274765</f>
        <v>813961</v>
      </c>
      <c r="F53" s="18">
        <v>2949472</v>
      </c>
      <c r="H53" s="18">
        <f>7442591-F53</f>
        <v>4493119</v>
      </c>
      <c r="I53" s="18">
        <v>4125071</v>
      </c>
      <c r="J53" s="18">
        <v>24612923</v>
      </c>
      <c r="L53" s="18">
        <f t="shared" si="7"/>
        <v>91534048</v>
      </c>
      <c r="M53" s="18">
        <f t="shared" si="8"/>
        <v>66921125</v>
      </c>
      <c r="P53" s="16">
        <f t="shared" si="9"/>
        <v>6.1640789810392456E-2</v>
      </c>
      <c r="Q53" s="16">
        <f t="shared" si="10"/>
        <v>4.4073855602397599E-2</v>
      </c>
      <c r="R53" s="16">
        <f t="shared" si="5"/>
        <v>0.1112143736376219</v>
      </c>
      <c r="S53" s="16">
        <f t="shared" si="11"/>
        <v>0.1112143736376219</v>
      </c>
      <c r="T53" s="17">
        <v>32.4</v>
      </c>
      <c r="U53" s="189">
        <v>2064</v>
      </c>
      <c r="V53" s="193">
        <f t="shared" si="6"/>
        <v>2.6256632267441859E-2</v>
      </c>
    </row>
    <row r="54" spans="1:24" x14ac:dyDescent="0.25">
      <c r="A54" s="19" t="s">
        <v>59</v>
      </c>
      <c r="B54" s="18">
        <v>63395373</v>
      </c>
      <c r="C54" s="18">
        <f>141789+83310</f>
        <v>225099</v>
      </c>
      <c r="D54" s="18">
        <v>7891</v>
      </c>
      <c r="E54" s="18">
        <f>727037+16796+294693</f>
        <v>1038526</v>
      </c>
      <c r="F54" s="18">
        <v>3147492</v>
      </c>
      <c r="H54" s="18">
        <f>7535539-F54</f>
        <v>4388047</v>
      </c>
      <c r="I54" s="18">
        <v>5530209</v>
      </c>
      <c r="J54" s="18">
        <v>15603709</v>
      </c>
      <c r="L54" s="18">
        <f t="shared" si="7"/>
        <v>93336346</v>
      </c>
      <c r="M54" s="18">
        <f t="shared" si="8"/>
        <v>77732637</v>
      </c>
      <c r="P54" s="16">
        <f t="shared" si="9"/>
        <v>7.1143977786319021E-2</v>
      </c>
      <c r="Q54" s="16">
        <f t="shared" si="10"/>
        <v>4.0491254657937306E-2</v>
      </c>
      <c r="R54" s="16">
        <f t="shared" si="5"/>
        <v>9.6941764628414709E-2</v>
      </c>
      <c r="S54" s="16">
        <f t="shared" si="11"/>
        <v>9.6941764628414709E-2</v>
      </c>
      <c r="T54" s="17">
        <v>33.4</v>
      </c>
      <c r="U54" s="189">
        <v>2254.8000000000002</v>
      </c>
      <c r="V54" s="193">
        <f t="shared" si="6"/>
        <v>2.8115741085683873E-2</v>
      </c>
    </row>
    <row r="55" spans="1:24" x14ac:dyDescent="0.25">
      <c r="A55" s="19" t="s">
        <v>60</v>
      </c>
      <c r="B55" s="18">
        <v>72682584</v>
      </c>
      <c r="C55" s="18">
        <f>176582+381309</f>
        <v>557891</v>
      </c>
      <c r="D55" s="18">
        <v>12807</v>
      </c>
      <c r="E55" s="18">
        <f>559049+158518+340085</f>
        <v>1057652</v>
      </c>
      <c r="F55" s="18">
        <v>3797858</v>
      </c>
      <c r="H55" s="18">
        <f>7772999-F55</f>
        <v>3975141</v>
      </c>
      <c r="I55" s="18">
        <v>4710522</v>
      </c>
      <c r="J55" s="18">
        <v>12499982</v>
      </c>
      <c r="L55" s="18">
        <f t="shared" si="7"/>
        <v>99294437</v>
      </c>
      <c r="M55" s="18">
        <f t="shared" si="8"/>
        <v>86794455</v>
      </c>
      <c r="P55" s="16">
        <f t="shared" si="9"/>
        <v>5.4272153676176667E-2</v>
      </c>
      <c r="Q55" s="16">
        <f t="shared" si="10"/>
        <v>4.3756919724883346E-2</v>
      </c>
      <c r="R55" s="16">
        <f t="shared" si="5"/>
        <v>8.9556400809245248E-2</v>
      </c>
      <c r="S55" s="16">
        <f t="shared" si="11"/>
        <v>8.9556400809245248E-2</v>
      </c>
      <c r="T55" s="17">
        <v>34.799999999999997</v>
      </c>
      <c r="U55" s="189">
        <v>2491</v>
      </c>
      <c r="V55" s="193">
        <f t="shared" si="6"/>
        <v>2.9178074668807709E-2</v>
      </c>
    </row>
    <row r="56" spans="1:24" x14ac:dyDescent="0.25">
      <c r="A56" s="19" t="s">
        <v>61</v>
      </c>
      <c r="B56" s="18">
        <v>83348594</v>
      </c>
      <c r="C56" s="18">
        <f>150364+386605</f>
        <v>536969</v>
      </c>
      <c r="D56" s="18">
        <v>13233</v>
      </c>
      <c r="E56" s="18">
        <f>708758+52512+377932</f>
        <v>1139202</v>
      </c>
      <c r="F56" s="18">
        <v>4280178</v>
      </c>
      <c r="H56" s="18">
        <f>8884857-F56</f>
        <v>4604679</v>
      </c>
      <c r="I56" s="18">
        <v>5039916</v>
      </c>
      <c r="J56" s="18">
        <v>14821304</v>
      </c>
      <c r="L56" s="18">
        <f t="shared" si="7"/>
        <v>113784075</v>
      </c>
      <c r="M56" s="18">
        <f t="shared" si="8"/>
        <v>98962771</v>
      </c>
      <c r="P56" s="16">
        <f t="shared" si="9"/>
        <v>5.0927393696362851E-2</v>
      </c>
      <c r="Q56" s="16">
        <f t="shared" si="10"/>
        <v>4.3250385541447701E-2</v>
      </c>
      <c r="R56" s="16">
        <f t="shared" si="5"/>
        <v>8.9779792039169956E-2</v>
      </c>
      <c r="S56" s="16">
        <f t="shared" si="11"/>
        <v>8.9779792039169956E-2</v>
      </c>
      <c r="T56" s="17">
        <v>36.700000000000003</v>
      </c>
      <c r="U56" s="189">
        <v>2781.3</v>
      </c>
      <c r="V56" s="193">
        <f t="shared" si="6"/>
        <v>2.996749505626865E-2</v>
      </c>
    </row>
    <row r="57" spans="1:24" x14ac:dyDescent="0.25">
      <c r="A57" s="19" t="s">
        <v>62</v>
      </c>
      <c r="B57" s="18">
        <v>97811523</v>
      </c>
      <c r="C57" s="18">
        <f>182175+272078</f>
        <v>454253</v>
      </c>
      <c r="D57" s="18">
        <v>8473</v>
      </c>
      <c r="E57" s="18">
        <f>586938+146678+466001</f>
        <v>1199617</v>
      </c>
      <c r="F57" s="18">
        <v>4089250</v>
      </c>
      <c r="H57" s="18">
        <f>9393552-F57</f>
        <v>5304302</v>
      </c>
      <c r="I57" s="18">
        <v>5757662</v>
      </c>
      <c r="J57" s="18">
        <v>17833417</v>
      </c>
      <c r="L57" s="18">
        <f t="shared" si="7"/>
        <v>132458497</v>
      </c>
      <c r="M57" s="18">
        <f t="shared" si="8"/>
        <v>114625080</v>
      </c>
      <c r="P57" s="16">
        <f t="shared" si="9"/>
        <v>5.0230385880646711E-2</v>
      </c>
      <c r="Q57" s="16">
        <f t="shared" si="10"/>
        <v>3.567500236422954E-2</v>
      </c>
      <c r="R57" s="16">
        <f t="shared" si="5"/>
        <v>8.1950232880971599E-2</v>
      </c>
      <c r="S57" s="16">
        <f t="shared" si="11"/>
        <v>8.1950232880971599E-2</v>
      </c>
      <c r="T57" s="17">
        <v>38.799999999999997</v>
      </c>
      <c r="U57" s="189">
        <v>2965.7</v>
      </c>
      <c r="V57" s="193">
        <f t="shared" si="6"/>
        <v>3.2980922884984998E-2</v>
      </c>
    </row>
    <row r="58" spans="1:24" x14ac:dyDescent="0.25">
      <c r="A58" s="19" t="s">
        <v>63</v>
      </c>
      <c r="B58" s="18">
        <v>109770085</v>
      </c>
      <c r="C58" s="18">
        <f>197703+2024252</f>
        <v>2221955</v>
      </c>
      <c r="D58" s="18">
        <v>16911</v>
      </c>
      <c r="E58" s="18">
        <f>776407+1006627+467680</f>
        <v>2250714</v>
      </c>
      <c r="F58" s="18">
        <v>5435117</v>
      </c>
      <c r="H58" s="18">
        <f>12827750-F58</f>
        <v>7392633</v>
      </c>
      <c r="I58" s="18">
        <v>6353817</v>
      </c>
      <c r="J58" s="18">
        <v>10870499</v>
      </c>
      <c r="L58" s="18">
        <f t="shared" si="7"/>
        <v>144311731</v>
      </c>
      <c r="M58" s="18">
        <f t="shared" si="8"/>
        <v>133441232</v>
      </c>
      <c r="P58" s="16">
        <f t="shared" si="9"/>
        <v>4.7615095460149831E-2</v>
      </c>
      <c r="Q58" s="16">
        <f t="shared" si="10"/>
        <v>4.0730416817494612E-2</v>
      </c>
      <c r="R58" s="16">
        <f t="shared" si="5"/>
        <v>9.6130332489736001E-2</v>
      </c>
      <c r="S58" s="16">
        <f t="shared" si="11"/>
        <v>9.6130332489736001E-2</v>
      </c>
      <c r="T58" s="17">
        <v>40.5</v>
      </c>
      <c r="U58" s="189">
        <v>3220.1</v>
      </c>
      <c r="V58" s="193">
        <f t="shared" si="6"/>
        <v>3.4089029843793674E-2</v>
      </c>
    </row>
    <row r="59" spans="1:24" x14ac:dyDescent="0.25">
      <c r="A59" s="19" t="s">
        <v>64</v>
      </c>
      <c r="B59" s="18">
        <v>127111692</v>
      </c>
      <c r="C59" s="18">
        <f>165963+518682</f>
        <v>684645</v>
      </c>
      <c r="D59" s="18">
        <v>39562</v>
      </c>
      <c r="E59" s="18">
        <f>973798+384678+443142</f>
        <v>1801618</v>
      </c>
      <c r="F59" s="18">
        <v>2597606</v>
      </c>
      <c r="H59" s="18">
        <f>9489380-F59</f>
        <v>6891774</v>
      </c>
      <c r="I59" s="18">
        <v>8427649</v>
      </c>
      <c r="J59" s="18">
        <v>14349114</v>
      </c>
      <c r="L59" s="18">
        <f t="shared" si="7"/>
        <v>161903660</v>
      </c>
      <c r="M59" s="18">
        <f t="shared" si="8"/>
        <v>147554546</v>
      </c>
      <c r="P59" s="16">
        <f t="shared" si="9"/>
        <v>5.711548189101541E-2</v>
      </c>
      <c r="Q59" s="16">
        <f t="shared" si="10"/>
        <v>1.760437797694149E-2</v>
      </c>
      <c r="R59" s="16">
        <f t="shared" si="5"/>
        <v>6.4310997236235609E-2</v>
      </c>
      <c r="S59" s="16">
        <f t="shared" si="11"/>
        <v>6.4310997236235609E-2</v>
      </c>
      <c r="T59" s="17">
        <v>41.8</v>
      </c>
      <c r="U59" s="189">
        <v>3562</v>
      </c>
      <c r="V59" s="193">
        <f t="shared" si="6"/>
        <v>3.5685483436271759E-2</v>
      </c>
      <c r="W59" s="23">
        <v>3696</v>
      </c>
      <c r="X59" s="16">
        <f t="shared" ref="X59:X86" si="12">B59/(W59*1000000)</f>
        <v>3.4391691558441559E-2</v>
      </c>
    </row>
    <row r="60" spans="1:24" x14ac:dyDescent="0.25">
      <c r="A60" s="19" t="s">
        <v>65</v>
      </c>
      <c r="B60" s="18">
        <v>139670815</v>
      </c>
      <c r="C60" s="18">
        <f>216328+309287</f>
        <v>525615</v>
      </c>
      <c r="D60" s="18">
        <v>70190</v>
      </c>
      <c r="E60" s="18">
        <f>1297406+110468+573625</f>
        <v>1981499</v>
      </c>
      <c r="F60" s="18">
        <v>2694078</v>
      </c>
      <c r="H60" s="18">
        <f>12664023-F60</f>
        <v>9969945</v>
      </c>
      <c r="I60" s="18">
        <v>7951695</v>
      </c>
      <c r="J60" s="18">
        <v>11982471</v>
      </c>
      <c r="L60" s="18">
        <f t="shared" si="7"/>
        <v>174846308</v>
      </c>
      <c r="M60" s="18">
        <f t="shared" si="8"/>
        <v>162863837</v>
      </c>
      <c r="P60" s="16">
        <f t="shared" si="9"/>
        <v>4.8824190480051134E-2</v>
      </c>
      <c r="Q60" s="16">
        <f t="shared" si="10"/>
        <v>1.6541904265708784E-2</v>
      </c>
      <c r="R60" s="16">
        <f t="shared" si="5"/>
        <v>7.775834852767223E-2</v>
      </c>
      <c r="S60" s="16">
        <f t="shared" si="11"/>
        <v>7.775834852767223E-2</v>
      </c>
      <c r="T60" s="17">
        <v>44.4</v>
      </c>
      <c r="U60" s="189">
        <v>4013.3</v>
      </c>
      <c r="V60" s="193">
        <f t="shared" si="6"/>
        <v>3.4801987142750353E-2</v>
      </c>
      <c r="W60" s="23">
        <v>4177</v>
      </c>
      <c r="X60" s="16">
        <f t="shared" si="12"/>
        <v>3.3438069188412738E-2</v>
      </c>
    </row>
    <row r="61" spans="1:24" x14ac:dyDescent="0.25">
      <c r="A61" s="19" t="s">
        <v>66</v>
      </c>
      <c r="B61" s="18">
        <v>153859688</v>
      </c>
      <c r="C61" s="18">
        <f>233373+421004</f>
        <v>654377</v>
      </c>
      <c r="D61" s="18">
        <v>68969</v>
      </c>
      <c r="E61" s="18">
        <f>1199884+1027294+628784</f>
        <v>2855962</v>
      </c>
      <c r="F61" s="18">
        <v>3250697</v>
      </c>
      <c r="H61" s="18">
        <f>12772327-F61</f>
        <v>9521630</v>
      </c>
      <c r="I61" s="18">
        <v>9316251</v>
      </c>
      <c r="J61" s="18">
        <v>30076863</v>
      </c>
      <c r="L61" s="18">
        <f t="shared" si="7"/>
        <v>209604437</v>
      </c>
      <c r="M61" s="18">
        <f t="shared" si="8"/>
        <v>179527574</v>
      </c>
      <c r="P61" s="16">
        <f t="shared" si="9"/>
        <v>5.1893148180123014E-2</v>
      </c>
      <c r="Q61" s="16">
        <f t="shared" si="10"/>
        <v>1.8106951080395037E-2</v>
      </c>
      <c r="R61" s="16">
        <f t="shared" si="5"/>
        <v>7.1144096226688838E-2</v>
      </c>
      <c r="S61" s="16">
        <f t="shared" si="11"/>
        <v>7.1144096226688838E-2</v>
      </c>
      <c r="T61" s="17">
        <v>49.3</v>
      </c>
      <c r="U61" s="189">
        <v>4417.2</v>
      </c>
      <c r="V61" s="193">
        <f t="shared" si="6"/>
        <v>3.4831949651362853E-2</v>
      </c>
      <c r="W61" s="23">
        <v>4451</v>
      </c>
      <c r="X61" s="16">
        <f t="shared" si="12"/>
        <v>3.4567442821837789E-2</v>
      </c>
    </row>
    <row r="62" spans="1:24" x14ac:dyDescent="0.25">
      <c r="A62" s="19" t="s">
        <v>67</v>
      </c>
      <c r="B62" s="18">
        <v>178824725</v>
      </c>
      <c r="C62" s="18">
        <f>439888+449446</f>
        <v>889334</v>
      </c>
      <c r="D62" s="18">
        <v>79871</v>
      </c>
      <c r="E62" s="18">
        <f>1882719+1913101+1056696</f>
        <v>4852516</v>
      </c>
      <c r="F62" s="18">
        <v>3389966</v>
      </c>
      <c r="H62" s="18">
        <f>15759120-F62</f>
        <v>12369154</v>
      </c>
      <c r="I62" s="18">
        <v>10810071</v>
      </c>
      <c r="J62" s="18">
        <v>16573855</v>
      </c>
      <c r="L62" s="18">
        <f t="shared" si="7"/>
        <v>227789492</v>
      </c>
      <c r="M62" s="18">
        <f t="shared" si="8"/>
        <v>211215637</v>
      </c>
      <c r="P62" s="16">
        <f t="shared" si="9"/>
        <v>5.1180258969178501E-2</v>
      </c>
      <c r="Q62" s="16">
        <f t="shared" si="10"/>
        <v>1.6049787071399452E-2</v>
      </c>
      <c r="R62" s="16">
        <f t="shared" si="5"/>
        <v>7.461152130512004E-2</v>
      </c>
      <c r="S62" s="16">
        <f t="shared" si="11"/>
        <v>7.461152130512004E-2</v>
      </c>
      <c r="T62" s="17">
        <v>53.8</v>
      </c>
      <c r="U62" s="189">
        <v>4802.3</v>
      </c>
      <c r="V62" s="193">
        <f t="shared" si="6"/>
        <v>3.7237308164837682E-2</v>
      </c>
      <c r="W62" s="23">
        <v>4770</v>
      </c>
      <c r="X62" s="16">
        <f t="shared" si="12"/>
        <v>3.7489460167714886E-2</v>
      </c>
    </row>
    <row r="63" spans="1:24" x14ac:dyDescent="0.25">
      <c r="A63" s="15" t="s">
        <v>68</v>
      </c>
      <c r="B63" s="18">
        <v>191758855</v>
      </c>
      <c r="C63" s="18">
        <f>377436+12311743</f>
        <v>12689179</v>
      </c>
      <c r="D63" s="18">
        <v>98100</v>
      </c>
      <c r="E63" s="18">
        <f>1598873+85571+916520</f>
        <v>2600964</v>
      </c>
      <c r="F63" s="18">
        <v>3598107</v>
      </c>
      <c r="H63" s="18">
        <f>21630220-F63</f>
        <v>18032113</v>
      </c>
      <c r="I63" s="18">
        <v>12270099</v>
      </c>
      <c r="J63" s="18">
        <v>11128596</v>
      </c>
      <c r="L63" s="18">
        <f t="shared" si="7"/>
        <v>252176013</v>
      </c>
      <c r="M63" s="18">
        <f t="shared" si="8"/>
        <v>241047417</v>
      </c>
      <c r="P63" s="16">
        <f t="shared" si="9"/>
        <v>5.090325858998937E-2</v>
      </c>
      <c r="Q63" s="16">
        <f t="shared" si="10"/>
        <v>1.4926967667942279E-2</v>
      </c>
      <c r="R63" s="16">
        <f t="shared" si="5"/>
        <v>8.9734294891863534E-2</v>
      </c>
      <c r="S63" s="16">
        <f t="shared" si="11"/>
        <v>8.9734294891863534E-2</v>
      </c>
      <c r="T63" s="17">
        <v>56.9</v>
      </c>
      <c r="U63" s="189">
        <v>5436</v>
      </c>
      <c r="V63" s="193">
        <f t="shared" si="6"/>
        <v>3.5275727557027223E-2</v>
      </c>
      <c r="W63" s="23">
        <v>5493</v>
      </c>
      <c r="X63" s="16">
        <f t="shared" si="12"/>
        <v>3.4909676861460043E-2</v>
      </c>
    </row>
    <row r="64" spans="1:24" x14ac:dyDescent="0.25">
      <c r="A64" s="15" t="s">
        <v>69</v>
      </c>
      <c r="B64" s="18">
        <v>206120827</v>
      </c>
      <c r="C64" s="18">
        <f>459606+12739131</f>
        <v>13198737</v>
      </c>
      <c r="D64" s="18">
        <v>88958</v>
      </c>
      <c r="E64" s="18">
        <f>1950761+30378+1065520</f>
        <v>3046659</v>
      </c>
      <c r="F64" s="18">
        <v>3904060</v>
      </c>
      <c r="H64" s="18">
        <f>20145004-F64</f>
        <v>16240944</v>
      </c>
      <c r="I64" s="18">
        <v>13064659</v>
      </c>
      <c r="J64" s="18">
        <v>12277947</v>
      </c>
      <c r="L64" s="18">
        <f t="shared" si="7"/>
        <v>267942791</v>
      </c>
      <c r="M64" s="18">
        <f t="shared" si="8"/>
        <v>255664844</v>
      </c>
      <c r="P64" s="16">
        <f t="shared" si="9"/>
        <v>5.1100725448196549E-2</v>
      </c>
      <c r="Q64" s="16">
        <f t="shared" si="10"/>
        <v>1.5270226202864248E-2</v>
      </c>
      <c r="R64" s="16">
        <f t="shared" si="5"/>
        <v>7.8794579985349888E-2</v>
      </c>
      <c r="S64" s="16">
        <f t="shared" si="11"/>
        <v>7.8794579985349888E-2</v>
      </c>
      <c r="T64" s="17">
        <v>60.6</v>
      </c>
      <c r="U64" s="189">
        <v>6146.4</v>
      </c>
      <c r="V64" s="193">
        <f t="shared" si="6"/>
        <v>3.3535211994012756E-2</v>
      </c>
      <c r="W64" s="23">
        <v>6340</v>
      </c>
      <c r="X64" s="16">
        <f t="shared" si="12"/>
        <v>3.2511171451104104E-2</v>
      </c>
    </row>
    <row r="65" spans="1:24" x14ac:dyDescent="0.25">
      <c r="A65" s="15" t="s">
        <v>70</v>
      </c>
      <c r="B65" s="18">
        <v>225201134</v>
      </c>
      <c r="C65" s="18">
        <f>742006+13657945</f>
        <v>14399951</v>
      </c>
      <c r="D65" s="18">
        <v>114622</v>
      </c>
      <c r="E65" s="18">
        <f>1786941+49805+1434067</f>
        <v>3270813</v>
      </c>
      <c r="F65" s="18">
        <v>3871268</v>
      </c>
      <c r="H65" s="18">
        <f>16690852-F65</f>
        <v>12819584</v>
      </c>
      <c r="I65" s="18">
        <v>17209292</v>
      </c>
      <c r="J65" s="18">
        <v>14591567</v>
      </c>
      <c r="L65" s="18">
        <f t="shared" si="7"/>
        <v>291478231</v>
      </c>
      <c r="M65" s="18">
        <f t="shared" si="8"/>
        <v>276886664</v>
      </c>
      <c r="P65" s="16">
        <f t="shared" si="9"/>
        <v>6.2152838101296203E-2</v>
      </c>
      <c r="Q65" s="16">
        <f t="shared" si="10"/>
        <v>1.3981417320987333E-2</v>
      </c>
      <c r="R65" s="16">
        <f t="shared" si="5"/>
        <v>6.0280447454125127E-2</v>
      </c>
      <c r="S65" s="16">
        <f t="shared" si="11"/>
        <v>6.0280447454125127E-2</v>
      </c>
      <c r="T65" s="17">
        <v>65.2</v>
      </c>
      <c r="U65" s="189">
        <v>7090.7</v>
      </c>
      <c r="V65" s="193">
        <f t="shared" si="6"/>
        <v>3.1760070796959396E-2</v>
      </c>
      <c r="W65" s="23">
        <v>7452</v>
      </c>
      <c r="X65" s="16">
        <f t="shared" si="12"/>
        <v>3.0220227321524424E-2</v>
      </c>
    </row>
    <row r="66" spans="1:24" x14ac:dyDescent="0.25">
      <c r="A66" s="15" t="s">
        <v>71</v>
      </c>
      <c r="B66" s="18">
        <v>245166785</v>
      </c>
      <c r="C66" s="18">
        <f>885376+15239247</f>
        <v>16124623</v>
      </c>
      <c r="D66" s="18">
        <v>117011</v>
      </c>
      <c r="E66" s="18">
        <f>3655186+134446+1454311</f>
        <v>5243943</v>
      </c>
      <c r="F66" s="18">
        <v>3894790</v>
      </c>
      <c r="H66" s="18">
        <f>20593382-F66</f>
        <v>16698592</v>
      </c>
      <c r="I66" s="18">
        <v>16120982</v>
      </c>
      <c r="J66" s="18">
        <v>16561932</v>
      </c>
      <c r="L66" s="18">
        <f t="shared" si="7"/>
        <v>319928658</v>
      </c>
      <c r="M66" s="18">
        <f t="shared" si="8"/>
        <v>303366726</v>
      </c>
      <c r="P66" s="16">
        <f t="shared" si="9"/>
        <v>5.3140244523718794E-2</v>
      </c>
      <c r="Q66" s="16">
        <f t="shared" si="10"/>
        <v>1.2838553691613496E-2</v>
      </c>
      <c r="R66" s="16">
        <f t="shared" si="5"/>
        <v>6.7882797403430464E-2</v>
      </c>
      <c r="S66" s="16">
        <f t="shared" si="11"/>
        <v>6.7882797403430464E-2</v>
      </c>
      <c r="T66" s="17">
        <v>72.599999999999994</v>
      </c>
      <c r="U66" s="189">
        <v>8111.9</v>
      </c>
      <c r="V66" s="193">
        <f t="shared" si="6"/>
        <v>3.0223102479073952E-2</v>
      </c>
      <c r="W66" s="23">
        <v>8429</v>
      </c>
      <c r="X66" s="16">
        <f t="shared" si="12"/>
        <v>2.90861057064895E-2</v>
      </c>
    </row>
    <row r="67" spans="1:24" x14ac:dyDescent="0.25">
      <c r="A67" s="15" t="s">
        <v>72</v>
      </c>
      <c r="B67" s="18">
        <v>268166589</v>
      </c>
      <c r="C67" s="18">
        <v>16272619</v>
      </c>
      <c r="E67" s="18">
        <v>6667024</v>
      </c>
      <c r="F67" s="18">
        <v>3871268</v>
      </c>
      <c r="H67" s="18">
        <f>27427201-F67</f>
        <v>23555933</v>
      </c>
      <c r="I67" s="18">
        <v>16566368</v>
      </c>
      <c r="J67" s="18">
        <v>14716681</v>
      </c>
      <c r="K67" s="18">
        <v>1125941</v>
      </c>
      <c r="L67" s="18">
        <f t="shared" ref="L67:L86" si="13">SUM(B67:K67)</f>
        <v>350942423</v>
      </c>
      <c r="M67" s="18">
        <f t="shared" ref="M67:M86" si="14">L67-J67</f>
        <v>336225742</v>
      </c>
      <c r="P67" s="16">
        <f t="shared" ref="P67:P86" si="15">I67/M67</f>
        <v>4.9271563508067148E-2</v>
      </c>
      <c r="Q67" s="16">
        <f t="shared" ref="Q67:Q86" si="16">F67/M67</f>
        <v>1.1513895328097752E-2</v>
      </c>
      <c r="R67" s="16">
        <f t="shared" si="5"/>
        <v>8.1573768970967131E-2</v>
      </c>
      <c r="S67" s="16">
        <f t="shared" ref="S67:S86" si="17">(F67+H67)/M67</f>
        <v>8.1573768970967131E-2</v>
      </c>
      <c r="T67" s="17">
        <v>82.4</v>
      </c>
      <c r="U67" s="189">
        <v>9278.2000000000007</v>
      </c>
      <c r="V67" s="193">
        <f t="shared" si="6"/>
        <v>2.8902867905412688E-2</v>
      </c>
      <c r="W67" s="23">
        <v>9365</v>
      </c>
      <c r="X67" s="16">
        <f t="shared" si="12"/>
        <v>2.8634980138814735E-2</v>
      </c>
    </row>
    <row r="68" spans="1:24" x14ac:dyDescent="0.25">
      <c r="A68" s="15" t="s">
        <v>73</v>
      </c>
      <c r="B68" s="18">
        <v>300611375</v>
      </c>
      <c r="C68" s="18">
        <v>19202951</v>
      </c>
      <c r="D68" s="18">
        <v>189693</v>
      </c>
      <c r="E68" s="18">
        <v>12236955</v>
      </c>
      <c r="F68" s="18">
        <v>3747994</v>
      </c>
      <c r="H68" s="18">
        <f>29928172-F68</f>
        <v>26180178</v>
      </c>
      <c r="I68" s="18">
        <v>17300140</v>
      </c>
      <c r="J68" s="18">
        <v>12446948</v>
      </c>
      <c r="L68" s="18">
        <f t="shared" si="13"/>
        <v>391916234</v>
      </c>
      <c r="M68" s="18">
        <f t="shared" si="14"/>
        <v>379469286</v>
      </c>
      <c r="P68" s="16">
        <f t="shared" si="15"/>
        <v>4.5590356422153228E-2</v>
      </c>
      <c r="Q68" s="16">
        <f t="shared" si="16"/>
        <v>9.8769363905778663E-3</v>
      </c>
      <c r="R68" s="16">
        <f t="shared" si="5"/>
        <v>7.8868496355723502E-2</v>
      </c>
      <c r="S68" s="16">
        <f t="shared" si="17"/>
        <v>7.8868496355723502E-2</v>
      </c>
      <c r="T68" s="17">
        <v>90.9</v>
      </c>
      <c r="U68" s="189">
        <v>10517</v>
      </c>
      <c r="V68" s="193">
        <f t="shared" si="6"/>
        <v>2.858337691356851E-2</v>
      </c>
      <c r="W68" s="23">
        <v>10562</v>
      </c>
      <c r="X68" s="16">
        <f t="shared" si="12"/>
        <v>2.8461595815186518E-2</v>
      </c>
    </row>
    <row r="69" spans="1:24" x14ac:dyDescent="0.25">
      <c r="A69" s="15" t="s">
        <v>74</v>
      </c>
      <c r="B69" s="18">
        <v>336561678</v>
      </c>
      <c r="C69" s="18">
        <v>20575644</v>
      </c>
      <c r="D69" s="18">
        <v>318962</v>
      </c>
      <c r="E69" s="18">
        <v>15246733</v>
      </c>
      <c r="F69" s="18">
        <v>3631512</v>
      </c>
      <c r="H69" s="18">
        <f>31871098-F69</f>
        <v>28239586</v>
      </c>
      <c r="I69" s="18">
        <v>14455720</v>
      </c>
      <c r="J69" s="18">
        <v>11502084</v>
      </c>
      <c r="L69" s="18">
        <f t="shared" si="13"/>
        <v>430531919</v>
      </c>
      <c r="M69" s="18">
        <f t="shared" si="14"/>
        <v>419029835</v>
      </c>
      <c r="P69" s="16">
        <f t="shared" si="15"/>
        <v>3.4498068616044965E-2</v>
      </c>
      <c r="Q69" s="16">
        <f t="shared" si="16"/>
        <v>8.6664759801649924E-3</v>
      </c>
      <c r="R69" s="16">
        <f t="shared" si="5"/>
        <v>7.6059257212556242E-2</v>
      </c>
      <c r="S69" s="16">
        <f t="shared" si="17"/>
        <v>7.6059257212556242E-2</v>
      </c>
      <c r="T69" s="17">
        <v>96.5</v>
      </c>
      <c r="U69" s="189">
        <v>11579.7</v>
      </c>
      <c r="V69" s="193">
        <f t="shared" si="6"/>
        <v>2.906480116065183E-2</v>
      </c>
      <c r="W69" s="23">
        <v>11463</v>
      </c>
      <c r="X69" s="16">
        <f t="shared" si="12"/>
        <v>2.9360697723109133E-2</v>
      </c>
    </row>
    <row r="70" spans="1:24" x14ac:dyDescent="0.25">
      <c r="A70" s="15" t="s">
        <v>75</v>
      </c>
      <c r="B70" s="18">
        <v>353594215</v>
      </c>
      <c r="C70" s="18">
        <v>23060821</v>
      </c>
      <c r="D70" s="18">
        <v>340639</v>
      </c>
      <c r="E70" s="18">
        <v>16528494</v>
      </c>
      <c r="F70" s="18">
        <v>3406266</v>
      </c>
      <c r="H70" s="18">
        <f>35913053-F70</f>
        <v>32506787</v>
      </c>
      <c r="I70" s="18">
        <v>16071843</v>
      </c>
      <c r="J70" s="18">
        <v>4390704</v>
      </c>
      <c r="L70" s="18">
        <f t="shared" si="13"/>
        <v>449899769</v>
      </c>
      <c r="M70" s="18">
        <f t="shared" si="14"/>
        <v>445509065</v>
      </c>
      <c r="P70" s="16">
        <f t="shared" si="15"/>
        <v>3.607523227389324E-2</v>
      </c>
      <c r="Q70" s="16">
        <f t="shared" si="16"/>
        <v>7.6457838181137796E-3</v>
      </c>
      <c r="R70" s="16">
        <f t="shared" si="5"/>
        <v>8.0611273308209788E-2</v>
      </c>
      <c r="S70" s="16">
        <f t="shared" si="17"/>
        <v>8.0611273308209788E-2</v>
      </c>
      <c r="T70" s="17">
        <v>99.6</v>
      </c>
      <c r="U70" s="189">
        <v>12713.2</v>
      </c>
      <c r="V70" s="193">
        <f t="shared" si="6"/>
        <v>2.7813156011075105E-2</v>
      </c>
      <c r="W70" s="23">
        <v>12714</v>
      </c>
      <c r="X70" s="16">
        <f t="shared" si="12"/>
        <v>2.7811405930470347E-2</v>
      </c>
    </row>
    <row r="71" spans="1:24" x14ac:dyDescent="0.25">
      <c r="A71" s="15" t="s">
        <v>76</v>
      </c>
      <c r="B71" s="18">
        <v>381107689</v>
      </c>
      <c r="C71" s="18">
        <v>24988476</v>
      </c>
      <c r="D71" s="18">
        <v>372056</v>
      </c>
      <c r="E71" s="18">
        <v>18164135</v>
      </c>
      <c r="F71" s="18">
        <v>3634556</v>
      </c>
      <c r="H71" s="18">
        <f>28222671-F71</f>
        <v>24588115</v>
      </c>
      <c r="I71" s="18">
        <v>17019106</v>
      </c>
      <c r="J71" s="18">
        <v>4929193</v>
      </c>
      <c r="L71" s="18">
        <f t="shared" si="13"/>
        <v>474803326</v>
      </c>
      <c r="M71" s="18">
        <f t="shared" si="14"/>
        <v>469874133</v>
      </c>
      <c r="P71" s="16">
        <f t="shared" si="15"/>
        <v>3.6220563773830892E-2</v>
      </c>
      <c r="Q71" s="16">
        <f t="shared" si="16"/>
        <v>7.7351693671547563E-3</v>
      </c>
      <c r="R71" s="16">
        <f t="shared" si="5"/>
        <v>6.006432152331314E-2</v>
      </c>
      <c r="S71" s="16">
        <f t="shared" si="17"/>
        <v>6.006432152331314E-2</v>
      </c>
      <c r="T71" s="17">
        <v>103.9</v>
      </c>
      <c r="U71" s="189">
        <v>14376.3</v>
      </c>
      <c r="V71" s="193">
        <f t="shared" si="6"/>
        <v>2.6509441859170996E-2</v>
      </c>
      <c r="W71" s="23">
        <v>14947</v>
      </c>
      <c r="X71" s="16">
        <f t="shared" si="12"/>
        <v>2.5497269619321604E-2</v>
      </c>
    </row>
    <row r="72" spans="1:24" x14ac:dyDescent="0.25">
      <c r="A72" s="15" t="s">
        <v>77</v>
      </c>
      <c r="B72" s="18">
        <v>419914307</v>
      </c>
      <c r="C72" s="18">
        <v>28630917</v>
      </c>
      <c r="D72" s="18">
        <v>448796</v>
      </c>
      <c r="E72" s="18">
        <v>21666276</v>
      </c>
      <c r="F72" s="18">
        <v>3669418</v>
      </c>
      <c r="H72" s="18">
        <f>25281637-F72</f>
        <v>21612219</v>
      </c>
      <c r="I72" s="18">
        <v>20183560</v>
      </c>
      <c r="J72" s="18">
        <v>13790189</v>
      </c>
      <c r="L72" s="18">
        <f t="shared" si="13"/>
        <v>529915682</v>
      </c>
      <c r="M72" s="18">
        <f t="shared" si="14"/>
        <v>516125493</v>
      </c>
      <c r="P72" s="16">
        <f t="shared" si="15"/>
        <v>3.9105915661484289E-2</v>
      </c>
      <c r="Q72" s="16">
        <f t="shared" si="16"/>
        <v>7.1095461273795284E-3</v>
      </c>
      <c r="R72" s="16">
        <f t="shared" ref="R72:R86" si="18">(F72+H72)/M72</f>
        <v>4.8983507582718841E-2</v>
      </c>
      <c r="S72" s="16">
        <f t="shared" si="17"/>
        <v>4.8983507582718841E-2</v>
      </c>
      <c r="T72" s="17">
        <v>107.6</v>
      </c>
      <c r="U72" s="189">
        <v>15842.4</v>
      </c>
      <c r="V72" s="193">
        <f t="shared" ref="V72:V109" si="19">B72/(U72*1000000)</f>
        <v>2.6505725584507398E-2</v>
      </c>
      <c r="W72" s="23">
        <v>16867</v>
      </c>
      <c r="X72" s="16">
        <f t="shared" si="12"/>
        <v>2.4895613149937747E-2</v>
      </c>
    </row>
    <row r="73" spans="1:24" x14ac:dyDescent="0.25">
      <c r="A73" s="15" t="s">
        <v>78</v>
      </c>
      <c r="B73" s="18">
        <v>459281736</v>
      </c>
      <c r="C73" s="18">
        <v>31835356</v>
      </c>
      <c r="D73" s="18">
        <v>441754</v>
      </c>
      <c r="E73" s="18">
        <v>24337912</v>
      </c>
      <c r="F73" s="18">
        <v>19134583</v>
      </c>
      <c r="H73" s="18">
        <f>36440223-F73</f>
        <v>17305640</v>
      </c>
      <c r="I73" s="18">
        <v>19780168</v>
      </c>
      <c r="J73" s="18">
        <v>40344500</v>
      </c>
      <c r="L73" s="18">
        <f t="shared" si="13"/>
        <v>612461649</v>
      </c>
      <c r="M73" s="18">
        <f t="shared" si="14"/>
        <v>572117149</v>
      </c>
      <c r="P73" s="16">
        <f t="shared" si="15"/>
        <v>3.4573632401289897E-2</v>
      </c>
      <c r="Q73" s="16">
        <f t="shared" si="16"/>
        <v>3.3445218402289145E-2</v>
      </c>
      <c r="R73" s="16">
        <f t="shared" si="18"/>
        <v>6.369363873062299E-2</v>
      </c>
      <c r="S73" s="16">
        <f t="shared" si="17"/>
        <v>6.369363873062299E-2</v>
      </c>
      <c r="T73" s="17">
        <v>109.6</v>
      </c>
      <c r="U73" s="189">
        <v>17508.8</v>
      </c>
      <c r="V73" s="193">
        <f t="shared" si="19"/>
        <v>2.6231479941515125E-2</v>
      </c>
      <c r="W73" s="23">
        <v>18773</v>
      </c>
      <c r="X73" s="16">
        <f t="shared" si="12"/>
        <v>2.4465015500985458E-2</v>
      </c>
    </row>
    <row r="74" spans="1:24" x14ac:dyDescent="0.25">
      <c r="A74" s="15" t="s">
        <v>79</v>
      </c>
      <c r="B74" s="18">
        <v>524052453</v>
      </c>
      <c r="C74" s="18">
        <v>35569359</v>
      </c>
      <c r="D74" s="18">
        <v>390530</v>
      </c>
      <c r="E74" s="18">
        <v>27152725</v>
      </c>
      <c r="F74" s="18">
        <v>23262532</v>
      </c>
      <c r="H74" s="18">
        <f>38075898-F74</f>
        <v>14813366</v>
      </c>
      <c r="I74" s="18">
        <v>19115669</v>
      </c>
      <c r="J74" s="18">
        <v>90550683</v>
      </c>
      <c r="L74" s="18">
        <f t="shared" si="13"/>
        <v>734907317</v>
      </c>
      <c r="M74" s="18">
        <f t="shared" si="14"/>
        <v>644356634</v>
      </c>
      <c r="P74" s="16">
        <f t="shared" si="15"/>
        <v>2.9666287256693319E-2</v>
      </c>
      <c r="Q74" s="16">
        <f t="shared" si="16"/>
        <v>3.6101951578572558E-2</v>
      </c>
      <c r="R74" s="16">
        <f t="shared" si="18"/>
        <v>5.9091341643578078E-2</v>
      </c>
      <c r="S74" s="16">
        <f t="shared" si="17"/>
        <v>5.9091341643578078E-2</v>
      </c>
      <c r="T74" s="17">
        <v>113.6</v>
      </c>
      <c r="U74" s="189">
        <v>19362.099999999999</v>
      </c>
      <c r="V74" s="193">
        <f t="shared" si="19"/>
        <v>2.7065889185573878E-2</v>
      </c>
      <c r="W74" s="23">
        <v>21463</v>
      </c>
      <c r="X74" s="16">
        <f t="shared" si="12"/>
        <v>2.4416551879979501E-2</v>
      </c>
    </row>
    <row r="75" spans="1:24" x14ac:dyDescent="0.25">
      <c r="A75" s="15" t="s">
        <v>80</v>
      </c>
      <c r="B75" s="18">
        <v>595155692</v>
      </c>
      <c r="C75" s="18">
        <v>40475044</v>
      </c>
      <c r="D75" s="18">
        <v>436054</v>
      </c>
      <c r="E75" s="18">
        <v>30764178</v>
      </c>
      <c r="F75" s="18">
        <v>32323873</v>
      </c>
      <c r="H75" s="18">
        <f>56752942-F75</f>
        <v>24429069</v>
      </c>
      <c r="I75" s="18">
        <v>22722663</v>
      </c>
      <c r="J75" s="18">
        <v>38996061</v>
      </c>
      <c r="L75" s="18">
        <f t="shared" si="13"/>
        <v>785302634</v>
      </c>
      <c r="M75" s="18">
        <f t="shared" si="14"/>
        <v>746306573</v>
      </c>
      <c r="P75" s="16">
        <f t="shared" si="15"/>
        <v>3.0446821483374499E-2</v>
      </c>
      <c r="Q75" s="16">
        <f t="shared" si="16"/>
        <v>4.3311789242408291E-2</v>
      </c>
      <c r="R75" s="16">
        <f t="shared" si="18"/>
        <v>7.6045078595334839E-2</v>
      </c>
      <c r="S75" s="16">
        <f t="shared" si="17"/>
        <v>7.6045078595334839E-2</v>
      </c>
      <c r="T75" s="17">
        <v>118.3</v>
      </c>
      <c r="U75" s="189">
        <v>21322.2</v>
      </c>
      <c r="V75" s="193">
        <f t="shared" si="19"/>
        <v>2.7912489893162994E-2</v>
      </c>
      <c r="W75" s="23">
        <v>23171</v>
      </c>
      <c r="X75" s="16">
        <f t="shared" si="12"/>
        <v>2.5685369297829184E-2</v>
      </c>
    </row>
    <row r="76" spans="1:24" x14ac:dyDescent="0.25">
      <c r="A76" s="15" t="s">
        <v>81</v>
      </c>
      <c r="B76" s="18">
        <v>693636381</v>
      </c>
      <c r="C76" s="18">
        <v>44920880</v>
      </c>
      <c r="D76" s="18">
        <v>481647</v>
      </c>
      <c r="E76" s="18">
        <v>33177432</v>
      </c>
      <c r="F76" s="18">
        <v>42772231</v>
      </c>
      <c r="H76" s="18">
        <f>69663376-F76</f>
        <v>26891145</v>
      </c>
      <c r="I76" s="18">
        <v>24798074</v>
      </c>
      <c r="J76" s="18">
        <v>78995256</v>
      </c>
      <c r="L76" s="18">
        <f t="shared" si="13"/>
        <v>945673046</v>
      </c>
      <c r="M76" s="18">
        <f t="shared" si="14"/>
        <v>866677790</v>
      </c>
      <c r="P76" s="16">
        <f t="shared" si="15"/>
        <v>2.8612795073472461E-2</v>
      </c>
      <c r="Q76" s="16">
        <f t="shared" si="16"/>
        <v>4.9351940817590353E-2</v>
      </c>
      <c r="R76" s="16">
        <f t="shared" si="18"/>
        <v>8.0379786817889959E-2</v>
      </c>
      <c r="S76" s="16">
        <f t="shared" si="17"/>
        <v>8.0379786817889959E-2</v>
      </c>
      <c r="T76" s="17">
        <v>124</v>
      </c>
      <c r="U76" s="189">
        <v>22846.7</v>
      </c>
      <c r="V76" s="193">
        <f t="shared" si="19"/>
        <v>3.0360462605102705E-2</v>
      </c>
      <c r="W76" s="23">
        <v>23885</v>
      </c>
      <c r="X76" s="16">
        <f t="shared" si="12"/>
        <v>2.9040669081013187E-2</v>
      </c>
    </row>
    <row r="77" spans="1:24" x14ac:dyDescent="0.25">
      <c r="A77" s="15" t="s">
        <v>82</v>
      </c>
      <c r="B77" s="18">
        <v>757965205</v>
      </c>
      <c r="C77" s="18">
        <v>49818437</v>
      </c>
      <c r="D77" s="18">
        <v>584991</v>
      </c>
      <c r="E77" s="18">
        <v>34172744</v>
      </c>
      <c r="F77" s="18">
        <v>45548560</v>
      </c>
      <c r="H77" s="18">
        <f>75683918-F77</f>
        <v>30135358</v>
      </c>
      <c r="I77" s="18">
        <v>24944004</v>
      </c>
      <c r="J77" s="18">
        <v>86086203</v>
      </c>
      <c r="L77" s="18">
        <f t="shared" si="13"/>
        <v>1029255502</v>
      </c>
      <c r="M77" s="18">
        <f t="shared" si="14"/>
        <v>943169299</v>
      </c>
      <c r="P77" s="16">
        <f t="shared" si="15"/>
        <v>2.6447005883723108E-2</v>
      </c>
      <c r="Q77" s="16">
        <f t="shared" si="16"/>
        <v>4.8293090167685793E-2</v>
      </c>
      <c r="R77" s="16">
        <f t="shared" si="18"/>
        <v>8.0244255278712165E-2</v>
      </c>
      <c r="S77" s="16">
        <f t="shared" si="17"/>
        <v>8.0244255278712165E-2</v>
      </c>
      <c r="T77" s="21">
        <v>130.69999999999999</v>
      </c>
      <c r="U77" s="189">
        <v>23006.5</v>
      </c>
      <c r="V77" s="193">
        <f t="shared" si="19"/>
        <v>3.2945698172255664E-2</v>
      </c>
      <c r="W77" s="23">
        <v>23784</v>
      </c>
      <c r="X77" s="16">
        <f t="shared" si="12"/>
        <v>3.1868701858392197E-2</v>
      </c>
    </row>
    <row r="78" spans="1:24" x14ac:dyDescent="0.25">
      <c r="A78" s="15" t="s">
        <v>83</v>
      </c>
      <c r="B78" s="18">
        <v>833731205</v>
      </c>
      <c r="C78" s="18">
        <v>50744542</v>
      </c>
      <c r="D78" s="18">
        <v>447962</v>
      </c>
      <c r="E78" s="18">
        <v>34261727</v>
      </c>
      <c r="F78" s="18">
        <v>47160803</v>
      </c>
      <c r="H78" s="18">
        <f>76667005-F78</f>
        <v>29506202</v>
      </c>
      <c r="I78" s="18">
        <v>27398627</v>
      </c>
      <c r="J78" s="18">
        <v>57776878</v>
      </c>
      <c r="L78" s="18">
        <f t="shared" si="13"/>
        <v>1081027946</v>
      </c>
      <c r="M78" s="18">
        <f t="shared" si="14"/>
        <v>1023251068</v>
      </c>
      <c r="P78" s="16">
        <f t="shared" si="15"/>
        <v>2.6776055121596021E-2</v>
      </c>
      <c r="Q78" s="16">
        <f t="shared" si="16"/>
        <v>4.6089180333990135E-2</v>
      </c>
      <c r="R78" s="16">
        <f t="shared" si="18"/>
        <v>7.4924920576774814E-2</v>
      </c>
      <c r="S78" s="16">
        <f t="shared" si="17"/>
        <v>7.4924920576774814E-2</v>
      </c>
      <c r="T78" s="21">
        <v>136.19999999999999</v>
      </c>
      <c r="U78" s="189">
        <v>23792.3</v>
      </c>
      <c r="V78" s="193">
        <f t="shared" si="19"/>
        <v>3.5042060036230206E-2</v>
      </c>
      <c r="W78" s="23">
        <v>24778</v>
      </c>
      <c r="X78" s="16">
        <f t="shared" si="12"/>
        <v>3.3648042820243765E-2</v>
      </c>
    </row>
    <row r="79" spans="1:24" x14ac:dyDescent="0.25">
      <c r="A79" s="20" t="s">
        <v>84</v>
      </c>
      <c r="B79" s="18">
        <v>859410912</v>
      </c>
      <c r="C79" s="18">
        <v>52375136</v>
      </c>
      <c r="D79" s="18">
        <v>409074</v>
      </c>
      <c r="E79" s="18">
        <v>31030072</v>
      </c>
      <c r="F79" s="18">
        <v>47200601</v>
      </c>
      <c r="H79" s="18">
        <f>86597392-F79</f>
        <v>39396791</v>
      </c>
      <c r="I79" s="18">
        <v>31098321</v>
      </c>
      <c r="J79" s="18">
        <v>20892250</v>
      </c>
      <c r="L79" s="18">
        <f t="shared" si="13"/>
        <v>1081813157</v>
      </c>
      <c r="M79" s="18">
        <f t="shared" si="14"/>
        <v>1060920907</v>
      </c>
      <c r="P79" s="16">
        <f t="shared" si="15"/>
        <v>2.9312572496980681E-2</v>
      </c>
      <c r="Q79" s="16">
        <f t="shared" si="16"/>
        <v>4.4490216649109737E-2</v>
      </c>
      <c r="R79" s="16">
        <f t="shared" si="18"/>
        <v>8.16247388741487E-2</v>
      </c>
      <c r="S79" s="16">
        <f t="shared" si="17"/>
        <v>8.16247388741487E-2</v>
      </c>
      <c r="T79" s="21">
        <v>140.30000000000001</v>
      </c>
      <c r="U79" s="189">
        <v>24968.2</v>
      </c>
      <c r="V79" s="193">
        <f t="shared" si="19"/>
        <v>3.4420218998566177E-2</v>
      </c>
      <c r="W79" s="23">
        <v>26555</v>
      </c>
      <c r="X79" s="16">
        <f t="shared" si="12"/>
        <v>3.2363431067595559E-2</v>
      </c>
    </row>
    <row r="80" spans="1:24" x14ac:dyDescent="0.25">
      <c r="A80" s="1" t="s">
        <v>85</v>
      </c>
      <c r="B80" s="18">
        <v>907980303</v>
      </c>
      <c r="C80" s="18">
        <v>51428798</v>
      </c>
      <c r="D80" s="18">
        <v>378410</v>
      </c>
      <c r="E80" s="18">
        <v>30378889</v>
      </c>
      <c r="F80" s="18">
        <v>47275255</v>
      </c>
      <c r="H80" s="18">
        <f>84339602-F80</f>
        <v>37064347</v>
      </c>
      <c r="I80" s="18">
        <v>32793917</v>
      </c>
      <c r="J80" s="18">
        <v>16061604</v>
      </c>
      <c r="L80" s="18">
        <f t="shared" si="13"/>
        <v>1123361523</v>
      </c>
      <c r="M80" s="18">
        <f t="shared" si="14"/>
        <v>1107299919</v>
      </c>
      <c r="P80" s="16">
        <f t="shared" si="15"/>
        <v>2.9616110718779887E-2</v>
      </c>
      <c r="Q80" s="16">
        <f t="shared" si="16"/>
        <v>4.2694173627949125E-2</v>
      </c>
      <c r="R80" s="16">
        <f t="shared" si="18"/>
        <v>7.6166899818945977E-2</v>
      </c>
      <c r="S80" s="16">
        <f t="shared" si="17"/>
        <v>7.6166899818945977E-2</v>
      </c>
      <c r="T80" s="22">
        <v>144.5</v>
      </c>
      <c r="U80" s="189">
        <v>25786.7</v>
      </c>
      <c r="V80" s="193">
        <f t="shared" si="19"/>
        <v>3.5211186503119822E-2</v>
      </c>
      <c r="W80" s="23">
        <v>27612</v>
      </c>
      <c r="X80" s="16">
        <f t="shared" si="12"/>
        <v>3.2883539873967839E-2</v>
      </c>
    </row>
    <row r="81" spans="1:24" x14ac:dyDescent="0.25">
      <c r="A81" s="1" t="s">
        <v>86</v>
      </c>
      <c r="B81" s="18">
        <v>932452978</v>
      </c>
      <c r="C81" s="18">
        <v>53244430</v>
      </c>
      <c r="D81" s="18">
        <v>444585</v>
      </c>
      <c r="E81" s="18">
        <v>31292714</v>
      </c>
      <c r="F81" s="18">
        <v>57331372</v>
      </c>
      <c r="H81" s="18">
        <f>89552067-F81</f>
        <v>32220695</v>
      </c>
      <c r="I81" s="18">
        <v>35283500</v>
      </c>
      <c r="J81" s="18">
        <v>20813473</v>
      </c>
      <c r="K81" s="18">
        <v>1285959</v>
      </c>
      <c r="L81" s="18">
        <f t="shared" si="13"/>
        <v>1164369706</v>
      </c>
      <c r="M81" s="18">
        <f t="shared" si="14"/>
        <v>1143556233</v>
      </c>
      <c r="P81" s="16">
        <f t="shared" si="15"/>
        <v>3.0854188873106338E-2</v>
      </c>
      <c r="Q81" s="16">
        <f t="shared" si="16"/>
        <v>5.0134283164717797E-2</v>
      </c>
      <c r="R81" s="16">
        <f t="shared" si="18"/>
        <v>7.8310155999123485E-2</v>
      </c>
      <c r="S81" s="16">
        <f t="shared" si="17"/>
        <v>7.8310155999123485E-2</v>
      </c>
      <c r="T81" s="22">
        <v>148.19999999999999</v>
      </c>
      <c r="U81" s="189">
        <v>27522.3</v>
      </c>
      <c r="V81" s="193">
        <f t="shared" si="19"/>
        <v>3.3879907493196429E-2</v>
      </c>
      <c r="W81" s="23">
        <v>29456</v>
      </c>
      <c r="X81" s="16">
        <f t="shared" si="12"/>
        <v>3.1655790942422594E-2</v>
      </c>
    </row>
    <row r="82" spans="1:24" x14ac:dyDescent="0.25">
      <c r="A82" s="1" t="s">
        <v>87</v>
      </c>
      <c r="B82" s="18">
        <v>987526989</v>
      </c>
      <c r="C82" s="18">
        <v>55770640</v>
      </c>
      <c r="D82" s="18">
        <v>440657</v>
      </c>
      <c r="E82" s="18">
        <v>35426570</v>
      </c>
      <c r="F82" s="18">
        <v>47553688</v>
      </c>
      <c r="H82" s="18">
        <f>83611043-F82</f>
        <v>36057355</v>
      </c>
      <c r="I82" s="18">
        <v>35169271</v>
      </c>
      <c r="J82" s="18">
        <v>76210296</v>
      </c>
      <c r="K82" s="18">
        <v>1659943</v>
      </c>
      <c r="L82" s="18">
        <f t="shared" si="13"/>
        <v>1275815409</v>
      </c>
      <c r="M82" s="18">
        <f t="shared" si="14"/>
        <v>1199605113</v>
      </c>
      <c r="P82" s="16">
        <f t="shared" si="15"/>
        <v>2.9317373374683174E-2</v>
      </c>
      <c r="Q82" s="16">
        <f t="shared" si="16"/>
        <v>3.9641118135180869E-2</v>
      </c>
      <c r="R82" s="16">
        <f t="shared" si="18"/>
        <v>6.9698805126716723E-2</v>
      </c>
      <c r="S82" s="16">
        <f t="shared" si="17"/>
        <v>6.9698805126716723E-2</v>
      </c>
      <c r="T82" s="22">
        <v>152.4</v>
      </c>
      <c r="U82" s="189">
        <v>29202.799999999999</v>
      </c>
      <c r="V82" s="193">
        <f t="shared" si="19"/>
        <v>3.3816174784609694E-2</v>
      </c>
      <c r="W82" s="23">
        <v>32149</v>
      </c>
      <c r="X82" s="16">
        <f t="shared" si="12"/>
        <v>3.0717191483405393E-2</v>
      </c>
    </row>
    <row r="83" spans="1:24" x14ac:dyDescent="0.25">
      <c r="A83" s="1" t="s">
        <v>88</v>
      </c>
      <c r="B83" s="18">
        <v>1045577491</v>
      </c>
      <c r="C83" s="18">
        <v>60261104</v>
      </c>
      <c r="D83" s="18">
        <v>375011</v>
      </c>
      <c r="E83" s="18">
        <v>37709645</v>
      </c>
      <c r="F83" s="18">
        <v>48751586</v>
      </c>
      <c r="H83" s="18">
        <f>84763987-F83</f>
        <v>36012401</v>
      </c>
      <c r="I83" s="18">
        <v>40623229</v>
      </c>
      <c r="J83" s="18">
        <v>53529291</v>
      </c>
      <c r="K83" s="18">
        <v>116407</v>
      </c>
      <c r="L83" s="18">
        <f t="shared" si="13"/>
        <v>1322956165</v>
      </c>
      <c r="M83" s="18">
        <f t="shared" si="14"/>
        <v>1269426874</v>
      </c>
      <c r="P83" s="16">
        <f t="shared" si="15"/>
        <v>3.2001236016057436E-2</v>
      </c>
      <c r="Q83" s="16">
        <f t="shared" si="16"/>
        <v>3.8404406743322184E-2</v>
      </c>
      <c r="R83" s="16">
        <f t="shared" si="18"/>
        <v>6.6773430385088886E-2</v>
      </c>
      <c r="S83" s="16">
        <f t="shared" si="17"/>
        <v>6.6773430385088886E-2</v>
      </c>
      <c r="T83" s="22">
        <v>156.9</v>
      </c>
      <c r="U83" s="189">
        <v>30941.5</v>
      </c>
      <c r="V83" s="193">
        <f t="shared" si="19"/>
        <v>3.379207507716174E-2</v>
      </c>
      <c r="W83" s="23">
        <v>34823</v>
      </c>
      <c r="X83" s="16">
        <f t="shared" si="12"/>
        <v>3.0025485770898544E-2</v>
      </c>
    </row>
    <row r="84" spans="1:24" x14ac:dyDescent="0.25">
      <c r="A84" s="1" t="s">
        <v>89</v>
      </c>
      <c r="B84" s="18">
        <v>1092042021</v>
      </c>
      <c r="C84" s="18">
        <v>64585674</v>
      </c>
      <c r="D84" s="18">
        <v>440720</v>
      </c>
      <c r="E84" s="18">
        <v>43243174</v>
      </c>
      <c r="F84" s="18">
        <v>49504111</v>
      </c>
      <c r="H84" s="18">
        <f>94541923-F84</f>
        <v>45037812</v>
      </c>
      <c r="I84" s="18">
        <v>44334256</v>
      </c>
      <c r="J84" s="18">
        <v>107337003</v>
      </c>
      <c r="K84" s="18">
        <v>875</v>
      </c>
      <c r="L84" s="18">
        <f t="shared" si="13"/>
        <v>1446525646</v>
      </c>
      <c r="M84" s="18">
        <f t="shared" si="14"/>
        <v>1339188643</v>
      </c>
      <c r="P84" s="16">
        <f t="shared" si="15"/>
        <v>3.3105310616048884E-2</v>
      </c>
      <c r="Q84" s="16">
        <f t="shared" si="16"/>
        <v>3.6965748820198138E-2</v>
      </c>
      <c r="R84" s="16">
        <f t="shared" si="18"/>
        <v>7.0596419327609253E-2</v>
      </c>
      <c r="S84" s="16">
        <f t="shared" si="17"/>
        <v>7.0596419327609253E-2</v>
      </c>
      <c r="T84" s="22">
        <v>160.5</v>
      </c>
      <c r="U84" s="189">
        <v>33274</v>
      </c>
      <c r="V84" s="193">
        <f t="shared" si="19"/>
        <v>3.2819679659794432E-2</v>
      </c>
      <c r="W84" s="34">
        <v>36569</v>
      </c>
      <c r="X84" s="16">
        <f t="shared" si="12"/>
        <v>2.986250706882879E-2</v>
      </c>
    </row>
    <row r="85" spans="1:24" x14ac:dyDescent="0.25">
      <c r="A85" s="1" t="s">
        <v>90</v>
      </c>
      <c r="B85" s="18">
        <v>1130514694</v>
      </c>
      <c r="C85" s="18">
        <v>60079025</v>
      </c>
      <c r="D85" s="18">
        <v>451404</v>
      </c>
      <c r="E85" s="18">
        <v>49282663</v>
      </c>
      <c r="F85" s="18">
        <v>70626683</v>
      </c>
      <c r="H85" s="18">
        <f>127607496-F85</f>
        <v>56980813</v>
      </c>
      <c r="I85" s="18">
        <v>51940421</v>
      </c>
      <c r="J85" s="18">
        <v>60279612</v>
      </c>
      <c r="K85" s="18">
        <v>124888</v>
      </c>
      <c r="L85" s="18">
        <f t="shared" si="13"/>
        <v>1480280203</v>
      </c>
      <c r="M85" s="18">
        <f t="shared" si="14"/>
        <v>1420000591</v>
      </c>
      <c r="P85" s="16">
        <f t="shared" si="15"/>
        <v>3.6577746044050764E-2</v>
      </c>
      <c r="Q85" s="16">
        <f t="shared" si="16"/>
        <v>4.9737080003792761E-2</v>
      </c>
      <c r="R85" s="16">
        <f t="shared" si="18"/>
        <v>8.9864396401508256E-2</v>
      </c>
      <c r="S85" s="16">
        <f t="shared" si="17"/>
        <v>8.9864396401508256E-2</v>
      </c>
      <c r="T85" s="21">
        <v>163</v>
      </c>
      <c r="U85" s="189">
        <v>36531.599999999999</v>
      </c>
      <c r="V85" s="193">
        <f t="shared" si="19"/>
        <v>3.0946213524729274E-2</v>
      </c>
      <c r="W85" s="23">
        <v>38214.9</v>
      </c>
      <c r="X85" s="16">
        <f t="shared" si="12"/>
        <v>2.9583086544777037E-2</v>
      </c>
    </row>
    <row r="86" spans="1:24" x14ac:dyDescent="0.25">
      <c r="A86" s="1" t="s">
        <v>120</v>
      </c>
      <c r="B86" s="18">
        <v>1195958846</v>
      </c>
      <c r="C86" s="18">
        <v>61615672</v>
      </c>
      <c r="D86" s="18">
        <v>608069</v>
      </c>
      <c r="E86" s="18">
        <v>52396871</v>
      </c>
      <c r="F86" s="18">
        <v>68804546</v>
      </c>
      <c r="H86" s="18">
        <f>127701961-F86</f>
        <v>58897415</v>
      </c>
      <c r="I86" s="18">
        <v>58224175</v>
      </c>
      <c r="J86" s="18">
        <v>29368158</v>
      </c>
      <c r="K86" s="18">
        <v>50811</v>
      </c>
      <c r="L86" s="18">
        <f t="shared" si="13"/>
        <v>1525924563</v>
      </c>
      <c r="M86" s="18">
        <f t="shared" si="14"/>
        <v>1496556405</v>
      </c>
      <c r="P86" s="16">
        <f t="shared" si="15"/>
        <v>3.8905433036451442E-2</v>
      </c>
      <c r="Q86" s="16">
        <f t="shared" si="16"/>
        <v>4.5975244080426088E-2</v>
      </c>
      <c r="R86" s="16">
        <f t="shared" si="18"/>
        <v>8.5330536539316076E-2</v>
      </c>
      <c r="S86" s="16">
        <f t="shared" si="17"/>
        <v>8.5330536539316076E-2</v>
      </c>
      <c r="T86" s="28">
        <v>166.6</v>
      </c>
      <c r="U86" s="189">
        <v>38959.599999999999</v>
      </c>
      <c r="V86" s="193">
        <f t="shared" si="19"/>
        <v>3.0697410805039065E-2</v>
      </c>
      <c r="W86" s="23">
        <v>40557.800000000003</v>
      </c>
      <c r="X86" s="16">
        <f t="shared" si="12"/>
        <v>2.9487764277155073E-2</v>
      </c>
    </row>
    <row r="87" spans="1:24" x14ac:dyDescent="0.25">
      <c r="V87" s="193"/>
      <c r="W87" s="23"/>
    </row>
    <row r="88" spans="1:24" x14ac:dyDescent="0.25">
      <c r="A88" s="1" t="s">
        <v>141</v>
      </c>
      <c r="V88" s="193"/>
      <c r="W88" s="23"/>
    </row>
    <row r="89" spans="1:24" ht="52.8" x14ac:dyDescent="0.25">
      <c r="B89" s="41" t="s">
        <v>136</v>
      </c>
      <c r="C89" s="41" t="s">
        <v>137</v>
      </c>
      <c r="D89" s="41"/>
      <c r="E89" s="41"/>
      <c r="F89" s="41" t="s">
        <v>198</v>
      </c>
      <c r="G89" s="41" t="s">
        <v>199</v>
      </c>
      <c r="H89" s="41" t="s">
        <v>138</v>
      </c>
      <c r="I89" s="41" t="s">
        <v>139</v>
      </c>
      <c r="J89" s="41" t="s">
        <v>140</v>
      </c>
      <c r="K89" s="41" t="s">
        <v>117</v>
      </c>
      <c r="L89" s="41"/>
      <c r="O89" s="179" t="s">
        <v>265</v>
      </c>
      <c r="V89" s="193"/>
      <c r="W89" s="23"/>
    </row>
    <row r="90" spans="1:24" x14ac:dyDescent="0.25">
      <c r="A90" s="135" t="s">
        <v>247</v>
      </c>
      <c r="B90" s="18">
        <v>554561140</v>
      </c>
      <c r="C90" s="18">
        <f>32112438+59656689</f>
        <v>91769127</v>
      </c>
      <c r="F90" s="18">
        <v>824698948</v>
      </c>
      <c r="H90" s="18">
        <v>45297902</v>
      </c>
      <c r="I90" s="18">
        <v>70510329</v>
      </c>
      <c r="J90" s="18">
        <v>169965506</v>
      </c>
      <c r="K90" s="18">
        <v>4199</v>
      </c>
      <c r="L90" s="18">
        <f t="shared" ref="L90:L99" si="20">SUM(B90:K90)</f>
        <v>1756807151</v>
      </c>
      <c r="M90" s="18">
        <f t="shared" ref="M90:M99" si="21">L90-J90</f>
        <v>1586841645</v>
      </c>
      <c r="O90" s="18">
        <v>417876569</v>
      </c>
      <c r="P90" s="16">
        <f t="shared" ref="P90:P98" si="22">I90/M90</f>
        <v>4.4434382738927927E-2</v>
      </c>
      <c r="Q90" s="16">
        <f t="shared" ref="Q90:Q98" si="23">F90/M90</f>
        <v>0.51971093057618867</v>
      </c>
      <c r="R90" s="16">
        <f t="shared" ref="R90:R98" si="24">(F90+H90)/M90</f>
        <v>0.54825688041480658</v>
      </c>
      <c r="S90" s="16">
        <f t="shared" ref="S90:S98" si="25">(F90+H90-O90)/M90</f>
        <v>0.28491833600699329</v>
      </c>
      <c r="T90" s="38">
        <v>172.2</v>
      </c>
      <c r="U90" s="189">
        <v>43867.199999999997</v>
      </c>
      <c r="V90" s="193">
        <f t="shared" si="19"/>
        <v>1.2641817576685997E-2</v>
      </c>
      <c r="W90" s="23">
        <v>41880</v>
      </c>
      <c r="X90" s="16">
        <f t="shared" ref="X90:X109" si="26">B90/(W90*1000000)</f>
        <v>1.3241670009551098E-2</v>
      </c>
    </row>
    <row r="91" spans="1:24" x14ac:dyDescent="0.25">
      <c r="A91" s="135" t="s">
        <v>125</v>
      </c>
      <c r="B91" s="18">
        <v>675578576</v>
      </c>
      <c r="C91" s="18">
        <f>40945206+60463343</f>
        <v>101408549</v>
      </c>
      <c r="F91" s="18">
        <v>824013509</v>
      </c>
      <c r="H91" s="18">
        <v>53845952</v>
      </c>
      <c r="I91" s="18">
        <v>77364803</v>
      </c>
      <c r="J91" s="18">
        <v>104719497</v>
      </c>
      <c r="K91" s="18">
        <v>615683</v>
      </c>
      <c r="L91" s="18">
        <f t="shared" si="20"/>
        <v>1837546569</v>
      </c>
      <c r="M91" s="18">
        <f t="shared" si="21"/>
        <v>1732827072</v>
      </c>
      <c r="O91" s="18">
        <v>417575860</v>
      </c>
      <c r="P91" s="16">
        <f t="shared" si="22"/>
        <v>4.464658029073082E-2</v>
      </c>
      <c r="Q91" s="16">
        <f t="shared" si="23"/>
        <v>0.47553129929401289</v>
      </c>
      <c r="R91" s="16">
        <f t="shared" si="24"/>
        <v>0.50660534751848563</v>
      </c>
      <c r="S91" s="16">
        <f t="shared" si="25"/>
        <v>0.26562581369919874</v>
      </c>
      <c r="T91" s="38">
        <v>177.1</v>
      </c>
      <c r="U91" s="190">
        <v>46193.599999999999</v>
      </c>
      <c r="V91" s="193">
        <f t="shared" si="19"/>
        <v>1.4624938865990094E-2</v>
      </c>
      <c r="W91" s="23">
        <v>45225.5</v>
      </c>
      <c r="X91" s="16">
        <f t="shared" si="26"/>
        <v>1.4938001260350909E-2</v>
      </c>
    </row>
    <row r="92" spans="1:24" x14ac:dyDescent="0.25">
      <c r="A92" s="135" t="s">
        <v>161</v>
      </c>
      <c r="B92" s="18">
        <v>727822386</v>
      </c>
      <c r="C92" s="18">
        <f>25477171+67656501</f>
        <v>93133672</v>
      </c>
      <c r="F92" s="18">
        <v>879968059</v>
      </c>
      <c r="H92" s="18">
        <v>57159671</v>
      </c>
      <c r="I92" s="18">
        <v>85931199</v>
      </c>
      <c r="J92" s="18">
        <v>168490769</v>
      </c>
      <c r="K92" s="18">
        <v>89055</v>
      </c>
      <c r="L92" s="18">
        <f t="shared" si="20"/>
        <v>2012594811</v>
      </c>
      <c r="M92" s="18">
        <f t="shared" si="21"/>
        <v>1844104042</v>
      </c>
      <c r="O92" s="18">
        <v>454134768</v>
      </c>
      <c r="P92" s="16">
        <f t="shared" si="22"/>
        <v>4.6597804160119077E-2</v>
      </c>
      <c r="Q92" s="16">
        <f t="shared" si="23"/>
        <v>0.47717918238801843</v>
      </c>
      <c r="R92" s="16">
        <f t="shared" si="24"/>
        <v>0.50817508592609006</v>
      </c>
      <c r="S92" s="16">
        <f t="shared" si="25"/>
        <v>0.26191199140595994</v>
      </c>
      <c r="T92" s="38">
        <v>179.9</v>
      </c>
      <c r="U92" s="190">
        <v>47054.400000000001</v>
      </c>
      <c r="V92" s="193">
        <f t="shared" si="19"/>
        <v>1.5467679664388452E-2</v>
      </c>
      <c r="W92" s="23">
        <v>46629.7</v>
      </c>
      <c r="X92" s="16">
        <f t="shared" si="26"/>
        <v>1.5608558193597643E-2</v>
      </c>
    </row>
    <row r="93" spans="1:24" x14ac:dyDescent="0.25">
      <c r="A93" s="135" t="s">
        <v>165</v>
      </c>
      <c r="B93" s="18">
        <v>830495355</v>
      </c>
      <c r="C93" s="18">
        <v>28489934</v>
      </c>
      <c r="F93" s="18">
        <v>896157721</v>
      </c>
      <c r="H93" s="18">
        <v>54456970</v>
      </c>
      <c r="I93" s="18">
        <v>101903517</v>
      </c>
      <c r="J93" s="18">
        <v>124440579</v>
      </c>
      <c r="K93" s="18">
        <v>361169</v>
      </c>
      <c r="L93" s="18">
        <f t="shared" si="20"/>
        <v>2036305245</v>
      </c>
      <c r="M93" s="18">
        <f t="shared" si="21"/>
        <v>1911864666</v>
      </c>
      <c r="O93" s="18">
        <v>452996781.56379998</v>
      </c>
      <c r="P93" s="16">
        <f t="shared" si="22"/>
        <v>5.3300591204084737E-2</v>
      </c>
      <c r="Q93" s="16">
        <f t="shared" si="23"/>
        <v>0.46873491462915085</v>
      </c>
      <c r="R93" s="16">
        <f t="shared" si="24"/>
        <v>0.49721860961470377</v>
      </c>
      <c r="S93" s="16">
        <f t="shared" si="25"/>
        <v>0.26027883578041922</v>
      </c>
      <c r="T93" s="39">
        <v>184</v>
      </c>
      <c r="U93" s="190">
        <v>48040.7</v>
      </c>
      <c r="V93" s="193">
        <f t="shared" si="19"/>
        <v>1.7287328348671024E-2</v>
      </c>
      <c r="W93" s="23">
        <v>48678.5</v>
      </c>
      <c r="X93" s="16">
        <f t="shared" si="26"/>
        <v>1.7060824696734696E-2</v>
      </c>
    </row>
    <row r="94" spans="1:24" x14ac:dyDescent="0.25">
      <c r="A94" s="135" t="s">
        <v>175</v>
      </c>
      <c r="B94" s="18">
        <v>953787447</v>
      </c>
      <c r="C94" s="18">
        <v>39188515</v>
      </c>
      <c r="F94" s="18">
        <v>894471509</v>
      </c>
      <c r="H94" s="18">
        <v>66956265</v>
      </c>
      <c r="I94" s="18">
        <v>120502289</v>
      </c>
      <c r="J94" s="18">
        <v>233118378</v>
      </c>
      <c r="K94" s="18">
        <v>575944</v>
      </c>
      <c r="L94" s="18">
        <f t="shared" si="20"/>
        <v>2308600347</v>
      </c>
      <c r="M94" s="18">
        <f t="shared" si="21"/>
        <v>2075481969</v>
      </c>
      <c r="O94" s="18">
        <v>473345275</v>
      </c>
      <c r="P94" s="16">
        <f t="shared" si="22"/>
        <v>5.8059906469849945E-2</v>
      </c>
      <c r="Q94" s="16">
        <f t="shared" si="23"/>
        <v>0.43097050341081522</v>
      </c>
      <c r="R94" s="16">
        <f t="shared" si="24"/>
        <v>0.46323108962648857</v>
      </c>
      <c r="S94" s="16">
        <f t="shared" si="25"/>
        <v>0.23516585848017069</v>
      </c>
      <c r="T94" s="39">
        <v>188.9</v>
      </c>
      <c r="U94" s="190">
        <v>50939.8</v>
      </c>
      <c r="V94" s="193">
        <f t="shared" si="19"/>
        <v>1.8723816092721213E-2</v>
      </c>
      <c r="W94" s="23">
        <v>51378.400000000001</v>
      </c>
      <c r="X94" s="16">
        <f t="shared" si="26"/>
        <v>1.8563977216106378E-2</v>
      </c>
    </row>
    <row r="95" spans="1:24" x14ac:dyDescent="0.25">
      <c r="A95" s="135" t="s">
        <v>176</v>
      </c>
      <c r="B95" s="18">
        <v>1156083160</v>
      </c>
      <c r="C95" s="18">
        <v>38243560</v>
      </c>
      <c r="F95" s="18">
        <v>802928100</v>
      </c>
      <c r="H95" s="18">
        <v>68197536</v>
      </c>
      <c r="I95" s="18">
        <v>126742545</v>
      </c>
      <c r="J95" s="18">
        <v>133900706</v>
      </c>
      <c r="K95" s="18">
        <v>319914</v>
      </c>
      <c r="L95" s="18">
        <f t="shared" si="20"/>
        <v>2326415521</v>
      </c>
      <c r="M95" s="18">
        <f t="shared" si="21"/>
        <v>2192514815</v>
      </c>
      <c r="O95" s="18">
        <v>371302036</v>
      </c>
      <c r="P95" s="16">
        <f t="shared" si="22"/>
        <v>5.7806927521262839E-2</v>
      </c>
      <c r="Q95" s="16">
        <f t="shared" si="23"/>
        <v>0.36621330652217282</v>
      </c>
      <c r="R95" s="16">
        <f t="shared" si="24"/>
        <v>0.39731801584200471</v>
      </c>
      <c r="S95" s="16">
        <f t="shared" si="25"/>
        <v>0.22796817452747747</v>
      </c>
      <c r="T95" s="39">
        <v>195.3</v>
      </c>
      <c r="U95" s="190">
        <v>52878.8</v>
      </c>
      <c r="V95" s="193">
        <f t="shared" si="19"/>
        <v>2.1862885693321329E-2</v>
      </c>
      <c r="W95" s="23">
        <v>54126.7</v>
      </c>
      <c r="X95" s="16">
        <f t="shared" si="26"/>
        <v>2.1358833256045536E-2</v>
      </c>
    </row>
    <row r="96" spans="1:24" x14ac:dyDescent="0.25">
      <c r="A96" s="135" t="s">
        <v>186</v>
      </c>
      <c r="B96" s="18">
        <v>1215996909</v>
      </c>
      <c r="C96" s="18">
        <v>50318775</v>
      </c>
      <c r="F96" s="18">
        <v>834915583</v>
      </c>
      <c r="H96" s="18">
        <v>79507560</v>
      </c>
      <c r="I96" s="18">
        <v>130584760</v>
      </c>
      <c r="J96" s="18">
        <v>108945662</v>
      </c>
      <c r="K96" s="18">
        <v>3888996</v>
      </c>
      <c r="L96" s="18">
        <f t="shared" si="20"/>
        <v>2424158245</v>
      </c>
      <c r="M96" s="18">
        <f t="shared" si="21"/>
        <v>2315212583</v>
      </c>
      <c r="O96" s="18">
        <v>363392367</v>
      </c>
      <c r="P96" s="16">
        <f t="shared" si="22"/>
        <v>5.6402924275226266E-2</v>
      </c>
      <c r="Q96" s="16">
        <f t="shared" si="23"/>
        <v>0.36062156414083379</v>
      </c>
      <c r="R96" s="16">
        <f t="shared" si="24"/>
        <v>0.39496292898300994</v>
      </c>
      <c r="S96" s="16">
        <f t="shared" si="25"/>
        <v>0.23800439754261651</v>
      </c>
      <c r="T96" s="39">
        <v>201.6</v>
      </c>
      <c r="U96" s="191">
        <v>56585.7</v>
      </c>
      <c r="V96" s="193">
        <f t="shared" si="19"/>
        <v>2.1489473647935787E-2</v>
      </c>
      <c r="W96" s="23">
        <v>56352.1</v>
      </c>
      <c r="X96" s="16">
        <f t="shared" si="26"/>
        <v>2.1578555351087183E-2</v>
      </c>
    </row>
    <row r="97" spans="1:39" x14ac:dyDescent="0.25">
      <c r="A97" s="135" t="s">
        <v>187</v>
      </c>
      <c r="B97" s="18">
        <v>1330587674</v>
      </c>
      <c r="C97" s="18">
        <v>52773108</v>
      </c>
      <c r="F97" s="18">
        <v>835317199</v>
      </c>
      <c r="H97" s="18">
        <v>89732904</v>
      </c>
      <c r="I97" s="18">
        <v>137549092</v>
      </c>
      <c r="J97" s="18">
        <v>71679948</v>
      </c>
      <c r="K97" s="18">
        <v>552883</v>
      </c>
      <c r="L97" s="18">
        <f t="shared" si="20"/>
        <v>2518192808</v>
      </c>
      <c r="M97" s="18">
        <f t="shared" si="21"/>
        <v>2446512860</v>
      </c>
      <c r="O97" s="18">
        <v>363335002</v>
      </c>
      <c r="P97" s="16">
        <f t="shared" si="22"/>
        <v>5.6222509290222981E-2</v>
      </c>
      <c r="Q97" s="16">
        <f t="shared" si="23"/>
        <v>0.34143176300328132</v>
      </c>
      <c r="R97" s="16">
        <f t="shared" si="24"/>
        <v>0.37810964255466861</v>
      </c>
      <c r="S97" s="16">
        <f t="shared" si="25"/>
        <v>0.22959826215669268</v>
      </c>
      <c r="T97" s="39">
        <v>207.3</v>
      </c>
      <c r="U97" s="189">
        <v>58631.3</v>
      </c>
      <c r="V97" s="193">
        <f t="shared" si="19"/>
        <v>2.2694152679541474E-2</v>
      </c>
      <c r="W97" s="23">
        <v>59411.6</v>
      </c>
      <c r="X97" s="16">
        <f t="shared" si="26"/>
        <v>2.2396092244612163E-2</v>
      </c>
    </row>
    <row r="98" spans="1:39" x14ac:dyDescent="0.25">
      <c r="A98" s="135" t="s">
        <v>188</v>
      </c>
      <c r="B98" s="18">
        <v>1376945977</v>
      </c>
      <c r="C98" s="18">
        <v>46236081</v>
      </c>
      <c r="F98" s="18">
        <v>889645105</v>
      </c>
      <c r="H98" s="18">
        <v>96997662</v>
      </c>
      <c r="I98" s="18">
        <v>136515834</v>
      </c>
      <c r="J98" s="18">
        <v>22135365</v>
      </c>
      <c r="K98" s="18">
        <v>359314</v>
      </c>
      <c r="L98" s="18">
        <f t="shared" si="20"/>
        <v>2568835338</v>
      </c>
      <c r="M98" s="18">
        <f t="shared" si="21"/>
        <v>2546699973</v>
      </c>
      <c r="O98" s="18">
        <v>363065989</v>
      </c>
      <c r="P98" s="16">
        <f t="shared" si="22"/>
        <v>5.3604992911349909E-2</v>
      </c>
      <c r="Q98" s="16">
        <f t="shared" si="23"/>
        <v>0.34933251440372948</v>
      </c>
      <c r="R98" s="16">
        <f t="shared" si="24"/>
        <v>0.38742010345166011</v>
      </c>
      <c r="S98" s="16">
        <f t="shared" si="25"/>
        <v>0.24485678902545777</v>
      </c>
      <c r="T98" s="39">
        <v>215.3</v>
      </c>
      <c r="U98" s="189">
        <v>60129</v>
      </c>
      <c r="V98" s="193">
        <f t="shared" si="19"/>
        <v>2.2899864907116367E-2</v>
      </c>
      <c r="W98" s="23">
        <v>60732.7</v>
      </c>
      <c r="X98" s="16">
        <f t="shared" si="26"/>
        <v>2.2672233854249851E-2</v>
      </c>
    </row>
    <row r="99" spans="1:39" ht="15" x14ac:dyDescent="0.25">
      <c r="A99" s="135" t="s">
        <v>248</v>
      </c>
      <c r="B99" s="18">
        <v>1483895656</v>
      </c>
      <c r="C99" s="18">
        <v>38269022</v>
      </c>
      <c r="F99" s="18">
        <v>890174085</v>
      </c>
      <c r="H99" s="18">
        <v>89967360</v>
      </c>
      <c r="I99" s="18">
        <v>147318280</v>
      </c>
      <c r="J99" s="18">
        <v>46262099</v>
      </c>
      <c r="K99" s="18">
        <v>900849</v>
      </c>
      <c r="L99" s="18">
        <f t="shared" si="20"/>
        <v>2696787351</v>
      </c>
      <c r="M99" s="18">
        <f t="shared" si="21"/>
        <v>2650525252</v>
      </c>
      <c r="O99" s="18">
        <v>363653009</v>
      </c>
      <c r="P99" s="16">
        <f t="shared" ref="P99:P109" si="27">I99/M99</f>
        <v>5.5580787200136435E-2</v>
      </c>
      <c r="Q99" s="16">
        <f t="shared" ref="Q99:Q109" si="28">F99/M99</f>
        <v>0.33584818115892451</v>
      </c>
      <c r="R99" s="16">
        <f t="shared" ref="R99:R109" si="29">(F99+H99)/M99</f>
        <v>0.3697914005008695</v>
      </c>
      <c r="S99" s="16">
        <f t="shared" ref="S99:S107" si="30">(F99+H99-O99)/M99</f>
        <v>0.23259104418447549</v>
      </c>
      <c r="T99" s="136">
        <v>214.5</v>
      </c>
      <c r="U99" s="189">
        <v>59082.5</v>
      </c>
      <c r="V99" s="193">
        <f t="shared" si="19"/>
        <v>2.5115654483137986E-2</v>
      </c>
      <c r="W99" s="23">
        <v>60918.7</v>
      </c>
      <c r="X99" s="16">
        <f t="shared" si="26"/>
        <v>2.435862314855701E-2</v>
      </c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</row>
    <row r="100" spans="1:39" x14ac:dyDescent="0.25">
      <c r="A100" s="135" t="s">
        <v>249</v>
      </c>
      <c r="B100" s="18">
        <v>1482598796</v>
      </c>
      <c r="C100" s="18">
        <v>31505531</v>
      </c>
      <c r="F100" s="18">
        <f>779785761+160065567</f>
        <v>939851328</v>
      </c>
      <c r="H100" s="18">
        <v>93751329</v>
      </c>
      <c r="I100" s="18">
        <v>191213006</v>
      </c>
      <c r="J100" s="18">
        <v>89770360</v>
      </c>
      <c r="K100" s="18">
        <v>2089084</v>
      </c>
      <c r="L100" s="18">
        <f t="shared" ref="L100" si="31">SUM(B100:K100)</f>
        <v>2830779434</v>
      </c>
      <c r="M100" s="18">
        <f t="shared" ref="M100" si="32">L100-J100</f>
        <v>2741009074</v>
      </c>
      <c r="O100" s="18">
        <v>363132443</v>
      </c>
      <c r="P100" s="16">
        <f t="shared" si="27"/>
        <v>6.9760077707790913E-2</v>
      </c>
      <c r="Q100" s="16">
        <f t="shared" si="28"/>
        <v>0.3428851574827001</v>
      </c>
      <c r="R100" s="16">
        <f t="shared" si="29"/>
        <v>0.37708837479025437</v>
      </c>
      <c r="S100" s="16">
        <f t="shared" si="30"/>
        <v>0.24460707567872866</v>
      </c>
      <c r="T100" s="136">
        <v>218.1</v>
      </c>
      <c r="U100" s="189">
        <v>61604.6</v>
      </c>
      <c r="V100" s="193">
        <f t="shared" si="19"/>
        <v>2.4066365109098996E-2</v>
      </c>
      <c r="W100" s="23">
        <v>61937.4</v>
      </c>
      <c r="X100" s="16">
        <f t="shared" si="26"/>
        <v>2.3937052507854707E-2</v>
      </c>
    </row>
    <row r="101" spans="1:39" ht="15" x14ac:dyDescent="0.25">
      <c r="A101" s="135" t="s">
        <v>250</v>
      </c>
      <c r="B101" s="18">
        <v>1521270974</v>
      </c>
      <c r="C101" s="18">
        <v>39534257</v>
      </c>
      <c r="F101" s="18">
        <f>920606020+20226445</f>
        <v>940832465</v>
      </c>
      <c r="H101" s="18">
        <v>96568770</v>
      </c>
      <c r="I101" s="18">
        <v>185345696</v>
      </c>
      <c r="J101" s="18">
        <v>154694880</v>
      </c>
      <c r="K101" s="18">
        <v>310892</v>
      </c>
      <c r="L101" s="18">
        <f t="shared" ref="L101" si="33">SUM(B101:K101)</f>
        <v>2938557934</v>
      </c>
      <c r="M101" s="18">
        <f t="shared" ref="M101" si="34">L101-J101</f>
        <v>2783863054</v>
      </c>
      <c r="O101" s="18">
        <v>363562542</v>
      </c>
      <c r="P101" s="16">
        <f t="shared" si="27"/>
        <v>6.6578596865131567E-2</v>
      </c>
      <c r="Q101" s="16">
        <f t="shared" si="28"/>
        <v>0.33795932010669949</v>
      </c>
      <c r="R101" s="16">
        <f t="shared" si="29"/>
        <v>0.37264808464964094</v>
      </c>
      <c r="S101" s="16">
        <f t="shared" si="30"/>
        <v>0.24205166702858941</v>
      </c>
      <c r="T101" s="136">
        <v>224.9</v>
      </c>
      <c r="U101" s="189">
        <v>64589.7</v>
      </c>
      <c r="V101" s="193">
        <f t="shared" si="19"/>
        <v>2.3552841614065401E-2</v>
      </c>
      <c r="W101" s="23">
        <v>64151.6</v>
      </c>
      <c r="X101" s="16">
        <f t="shared" si="26"/>
        <v>2.3713687172260706E-2</v>
      </c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</row>
    <row r="102" spans="1:39" x14ac:dyDescent="0.25">
      <c r="A102" s="135" t="s">
        <v>251</v>
      </c>
      <c r="B102" s="18">
        <v>1571663639</v>
      </c>
      <c r="C102" s="18">
        <v>33967825</v>
      </c>
      <c r="F102" s="18">
        <f>939657401+500832</f>
        <v>940158233</v>
      </c>
      <c r="H102" s="18">
        <v>89921344</v>
      </c>
      <c r="I102" s="18">
        <v>188426230</v>
      </c>
      <c r="J102" s="18">
        <v>32758999</v>
      </c>
      <c r="K102" s="18">
        <v>1883139</v>
      </c>
      <c r="L102" s="18">
        <f t="shared" ref="L102:L103" si="35">SUM(B102:K102)</f>
        <v>2858779409</v>
      </c>
      <c r="M102" s="18">
        <f t="shared" ref="M102:M103" si="36">L102-J102</f>
        <v>2826020410</v>
      </c>
      <c r="O102" s="18">
        <v>363086707</v>
      </c>
      <c r="P102" s="16">
        <f t="shared" si="27"/>
        <v>6.6675466791833962E-2</v>
      </c>
      <c r="Q102" s="16">
        <f t="shared" si="28"/>
        <v>0.33267920842793913</v>
      </c>
      <c r="R102" s="16">
        <f t="shared" si="29"/>
        <v>0.36449827940202312</v>
      </c>
      <c r="S102" s="16">
        <f t="shared" si="30"/>
        <v>0.23601841927249209</v>
      </c>
      <c r="T102" s="136">
        <v>229.6</v>
      </c>
      <c r="U102" s="189">
        <v>67528.800000000003</v>
      </c>
      <c r="V102" s="193">
        <f t="shared" si="19"/>
        <v>2.3273975533402044E-2</v>
      </c>
      <c r="W102" s="23">
        <v>65430.5</v>
      </c>
      <c r="X102" s="16">
        <f t="shared" si="26"/>
        <v>2.4020351961241318E-2</v>
      </c>
    </row>
    <row r="103" spans="1:39" x14ac:dyDescent="0.25">
      <c r="A103" s="135" t="s">
        <v>252</v>
      </c>
      <c r="B103" s="18">
        <v>1616304139</v>
      </c>
      <c r="C103" s="18">
        <v>37171834</v>
      </c>
      <c r="F103" s="18">
        <v>940938788</v>
      </c>
      <c r="H103" s="18">
        <v>79300016</v>
      </c>
      <c r="I103" s="18">
        <v>164398409</v>
      </c>
      <c r="J103" s="18">
        <v>8973589</v>
      </c>
      <c r="K103" s="18">
        <v>2649440</v>
      </c>
      <c r="L103" s="18">
        <f t="shared" si="35"/>
        <v>2849736215</v>
      </c>
      <c r="M103" s="18">
        <f t="shared" si="36"/>
        <v>2840762626</v>
      </c>
      <c r="O103" s="18">
        <v>363639896</v>
      </c>
      <c r="P103" s="16">
        <f t="shared" si="27"/>
        <v>5.7871223556431005E-2</v>
      </c>
      <c r="Q103" s="16">
        <f t="shared" si="28"/>
        <v>0.3312275300259459</v>
      </c>
      <c r="R103" s="16">
        <f t="shared" si="29"/>
        <v>0.35914257483617007</v>
      </c>
      <c r="S103" s="16">
        <f t="shared" si="30"/>
        <v>0.23113473191687928</v>
      </c>
      <c r="T103" s="136">
        <v>233</v>
      </c>
      <c r="U103" s="189">
        <v>67320.399999999994</v>
      </c>
      <c r="V103" s="193">
        <f t="shared" si="19"/>
        <v>2.4009128570240228E-2</v>
      </c>
      <c r="W103" s="23">
        <v>67689.2</v>
      </c>
      <c r="X103" s="16">
        <f t="shared" si="26"/>
        <v>2.3878316467028714E-2</v>
      </c>
    </row>
    <row r="104" spans="1:39" x14ac:dyDescent="0.25">
      <c r="A104" s="135" t="s">
        <v>253</v>
      </c>
      <c r="B104" s="18">
        <v>1691446612</v>
      </c>
      <c r="C104" s="18">
        <v>65832343</v>
      </c>
      <c r="F104" s="18">
        <v>929045885</v>
      </c>
      <c r="H104" s="18">
        <v>76057438</v>
      </c>
      <c r="I104" s="18">
        <v>162111343</v>
      </c>
      <c r="J104" s="18">
        <v>35250037</v>
      </c>
      <c r="K104" s="18">
        <v>4739342</v>
      </c>
      <c r="L104" s="18">
        <f t="shared" ref="L104" si="37">SUM(B104:K104)</f>
        <v>2964483000</v>
      </c>
      <c r="M104" s="18">
        <f t="shared" ref="M104" si="38">L104-J104</f>
        <v>2929232963</v>
      </c>
      <c r="O104" s="18">
        <v>363563724</v>
      </c>
      <c r="P104" s="16">
        <f t="shared" si="27"/>
        <v>5.53425914045335E-2</v>
      </c>
      <c r="Q104" s="16">
        <f t="shared" si="28"/>
        <v>0.31716353623458798</v>
      </c>
      <c r="R104" s="16">
        <f t="shared" si="29"/>
        <v>0.34312850350100338</v>
      </c>
      <c r="S104" s="16">
        <f t="shared" si="30"/>
        <v>0.21901282933227731</v>
      </c>
      <c r="T104" s="136">
        <v>236.7</v>
      </c>
      <c r="U104" s="189">
        <v>70225.2</v>
      </c>
      <c r="V104" s="193">
        <f t="shared" si="19"/>
        <v>2.4086034813713596E-2</v>
      </c>
      <c r="W104" s="23">
        <v>70181.899999999994</v>
      </c>
      <c r="X104" s="16">
        <f t="shared" si="26"/>
        <v>2.4100895131080807E-2</v>
      </c>
    </row>
    <row r="105" spans="1:39" x14ac:dyDescent="0.25">
      <c r="A105" s="135" t="s">
        <v>254</v>
      </c>
      <c r="B105" s="18">
        <v>1739968970</v>
      </c>
      <c r="C105" s="18">
        <v>53410793</v>
      </c>
      <c r="F105" s="18">
        <v>924330276</v>
      </c>
      <c r="H105" s="18">
        <v>76043832</v>
      </c>
      <c r="I105" s="18">
        <v>166235009</v>
      </c>
      <c r="J105" s="18">
        <v>89270876</v>
      </c>
      <c r="K105" s="18">
        <v>4686423</v>
      </c>
      <c r="L105" s="18">
        <f t="shared" ref="L105" si="39">SUM(B105:K105)</f>
        <v>3053946179</v>
      </c>
      <c r="M105" s="18">
        <f t="shared" ref="M105" si="40">L105-J105</f>
        <v>2964675303</v>
      </c>
      <c r="O105" s="18">
        <v>363318165</v>
      </c>
      <c r="P105" s="16">
        <f t="shared" si="27"/>
        <v>5.6071910752514539E-2</v>
      </c>
      <c r="Q105" s="16">
        <f t="shared" si="28"/>
        <v>0.31178128514264486</v>
      </c>
      <c r="R105" s="16">
        <f t="shared" si="29"/>
        <v>0.33743125494643755</v>
      </c>
      <c r="S105" s="16">
        <f t="shared" si="30"/>
        <v>0.21488219716855786</v>
      </c>
      <c r="T105" s="136">
        <v>237</v>
      </c>
      <c r="U105" s="189">
        <v>73212.399999999994</v>
      </c>
      <c r="V105" s="193">
        <f t="shared" si="19"/>
        <v>2.3766041954641562E-2</v>
      </c>
      <c r="W105" s="23">
        <v>72340.100000000006</v>
      </c>
      <c r="X105" s="16">
        <f t="shared" si="26"/>
        <v>2.4052620469145053E-2</v>
      </c>
    </row>
    <row r="106" spans="1:39" x14ac:dyDescent="0.25">
      <c r="A106" s="135" t="s">
        <v>255</v>
      </c>
      <c r="B106" s="18">
        <v>1789047812</v>
      </c>
      <c r="C106" s="18">
        <v>52188498</v>
      </c>
      <c r="F106" s="18">
        <v>932368455</v>
      </c>
      <c r="H106" s="18">
        <v>72779290</v>
      </c>
      <c r="I106" s="18">
        <v>173966151</v>
      </c>
      <c r="J106" s="18">
        <v>40715816</v>
      </c>
      <c r="K106" s="18">
        <v>20369562</v>
      </c>
      <c r="L106" s="18">
        <f t="shared" ref="L106" si="41">SUM(B106:K106)</f>
        <v>3081435584</v>
      </c>
      <c r="M106" s="18">
        <f t="shared" ref="M106" si="42">L106-J106</f>
        <v>3040719768</v>
      </c>
      <c r="O106" s="18">
        <v>363109425</v>
      </c>
      <c r="P106" s="16">
        <f t="shared" si="27"/>
        <v>5.7212161683161067E-2</v>
      </c>
      <c r="Q106" s="16">
        <f t="shared" si="28"/>
        <v>0.30662755075692327</v>
      </c>
      <c r="R106" s="16">
        <f t="shared" si="29"/>
        <v>0.33056243971509575</v>
      </c>
      <c r="S106" s="16">
        <f t="shared" si="30"/>
        <v>0.21114682344512584</v>
      </c>
      <c r="T106" s="136">
        <v>240</v>
      </c>
      <c r="U106" s="189">
        <v>75816.7</v>
      </c>
      <c r="V106" s="193">
        <f t="shared" si="19"/>
        <v>2.3597015063963479E-2</v>
      </c>
      <c r="W106" s="23">
        <v>76033.3</v>
      </c>
      <c r="X106" s="16">
        <f t="shared" si="26"/>
        <v>2.3529793024898302E-2</v>
      </c>
    </row>
    <row r="107" spans="1:39" x14ac:dyDescent="0.25">
      <c r="A107" s="135" t="s">
        <v>256</v>
      </c>
      <c r="B107" s="18">
        <v>1859885529</v>
      </c>
      <c r="C107" s="18">
        <v>55285537</v>
      </c>
      <c r="F107" s="18">
        <v>926491022</v>
      </c>
      <c r="H107" s="18">
        <v>80818756</v>
      </c>
      <c r="I107" s="18">
        <v>173816060</v>
      </c>
      <c r="J107" s="18">
        <v>65316584</v>
      </c>
      <c r="K107" s="18">
        <v>77644</v>
      </c>
      <c r="L107" s="18">
        <f t="shared" ref="L107:L109" si="43">SUM(B107:K107)</f>
        <v>3161691132</v>
      </c>
      <c r="M107" s="18">
        <f t="shared" ref="M107:M109" si="44">L107-J107</f>
        <v>3096374548</v>
      </c>
      <c r="O107" s="18">
        <v>363398238</v>
      </c>
      <c r="P107" s="16">
        <f t="shared" si="27"/>
        <v>5.6135347098841999E-2</v>
      </c>
      <c r="Q107" s="16">
        <f t="shared" si="28"/>
        <v>0.29921800726544406</v>
      </c>
      <c r="R107" s="16">
        <f t="shared" si="29"/>
        <v>0.32531909896063388</v>
      </c>
      <c r="S107" s="16">
        <f t="shared" si="30"/>
        <v>0.20795660538416233</v>
      </c>
      <c r="T107" s="136">
        <v>245.1</v>
      </c>
      <c r="U107" s="189">
        <v>78822.100000000006</v>
      </c>
      <c r="V107" s="193">
        <f t="shared" si="19"/>
        <v>2.3595990578784375E-2</v>
      </c>
      <c r="W107" s="23">
        <v>78477.899999999994</v>
      </c>
      <c r="X107" s="16">
        <f t="shared" si="26"/>
        <v>2.3699481369914333E-2</v>
      </c>
    </row>
    <row r="108" spans="1:39" x14ac:dyDescent="0.25">
      <c r="A108" s="135" t="s">
        <v>257</v>
      </c>
      <c r="B108" s="18">
        <v>1947380582</v>
      </c>
      <c r="C108" s="18">
        <v>46590762</v>
      </c>
      <c r="F108" s="18">
        <v>924007773</v>
      </c>
      <c r="H108" s="18">
        <v>76771701</v>
      </c>
      <c r="I108" s="18">
        <v>169194955</v>
      </c>
      <c r="J108" s="18">
        <v>177768482</v>
      </c>
      <c r="K108" s="18">
        <v>2165767</v>
      </c>
      <c r="L108" s="18">
        <f t="shared" si="43"/>
        <v>3343880022</v>
      </c>
      <c r="M108" s="18">
        <f t="shared" si="44"/>
        <v>3166111540</v>
      </c>
      <c r="O108" s="18">
        <v>363398238</v>
      </c>
      <c r="P108" s="16">
        <f t="shared" si="27"/>
        <v>5.343935387696417E-2</v>
      </c>
      <c r="Q108" s="16">
        <f t="shared" si="28"/>
        <v>0.29184308933095893</v>
      </c>
      <c r="R108" s="16">
        <f t="shared" si="29"/>
        <v>0.3160910351250607</v>
      </c>
      <c r="S108" s="16">
        <f t="shared" ref="S108:S109" si="45">(F108+H108-O108)/M108</f>
        <v>0.20131357595822413</v>
      </c>
      <c r="T108" s="136">
        <v>251.1</v>
      </c>
      <c r="U108" s="189">
        <v>83142.600000000006</v>
      </c>
      <c r="V108" s="193">
        <f t="shared" si="19"/>
        <v>2.3422175659649807E-2</v>
      </c>
      <c r="W108" s="23">
        <v>80900.2</v>
      </c>
      <c r="X108" s="16">
        <f t="shared" si="26"/>
        <v>2.4071393914971779E-2</v>
      </c>
    </row>
    <row r="109" spans="1:39" x14ac:dyDescent="0.25">
      <c r="A109" s="175" t="s">
        <v>264</v>
      </c>
      <c r="B109" s="18">
        <v>2012730122</v>
      </c>
      <c r="C109" s="18">
        <v>51534164</v>
      </c>
      <c r="F109" s="18">
        <v>914851022</v>
      </c>
      <c r="H109" s="18">
        <v>94309413</v>
      </c>
      <c r="I109" s="18">
        <v>165688054</v>
      </c>
      <c r="J109" s="18">
        <v>39825856</v>
      </c>
      <c r="K109" s="18">
        <v>370635</v>
      </c>
      <c r="L109" s="18">
        <f t="shared" si="43"/>
        <v>3279309266</v>
      </c>
      <c r="M109" s="18">
        <f t="shared" si="44"/>
        <v>3239483410</v>
      </c>
      <c r="O109" s="18">
        <v>363398238</v>
      </c>
      <c r="P109" s="16">
        <f t="shared" si="27"/>
        <v>5.1146443129955713E-2</v>
      </c>
      <c r="Q109" s="16">
        <f t="shared" si="28"/>
        <v>0.28240645381172058</v>
      </c>
      <c r="R109" s="16">
        <f t="shared" si="29"/>
        <v>0.31151893906442324</v>
      </c>
      <c r="S109" s="16">
        <f t="shared" si="45"/>
        <v>0.19934110327794516</v>
      </c>
      <c r="T109" s="136">
        <v>255.7</v>
      </c>
      <c r="U109" s="189">
        <v>86858.7</v>
      </c>
      <c r="V109" s="193">
        <f t="shared" si="19"/>
        <v>2.3172464266676799E-2</v>
      </c>
      <c r="W109" s="23">
        <v>84463.9</v>
      </c>
      <c r="X109" s="16">
        <f t="shared" si="26"/>
        <v>2.3829471786171369E-2</v>
      </c>
    </row>
    <row r="110" spans="1:39" x14ac:dyDescent="0.25">
      <c r="W110" s="23">
        <v>88595</v>
      </c>
    </row>
    <row r="111" spans="1:39" ht="15" x14ac:dyDescent="0.25">
      <c r="Z111" s="185"/>
    </row>
  </sheetData>
  <phoneticPr fontId="0" type="noConversion"/>
  <hyperlinks>
    <hyperlink ref="W1" r:id="rId1" xr:uid="{00000000-0004-0000-0000-000000000000}"/>
    <hyperlink ref="U1" r:id="rId2" xr:uid="{00000000-0004-0000-0000-000001000000}"/>
  </hyperlinks>
  <printOptions gridLines="1"/>
  <pageMargins left="0.4" right="0.4" top="0.83333333333333337" bottom="0.83333333333333337" header="0.33333333333333337" footer="0.33333333333333337"/>
  <pageSetup scale="73" fitToHeight="0" orientation="landscape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68"/>
  <sheetViews>
    <sheetView workbookViewId="0">
      <selection activeCell="B11" sqref="B11:B19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6" ht="13.2" x14ac:dyDescent="0.25">
      <c r="A1" s="213" t="s">
        <v>233</v>
      </c>
      <c r="B1" s="213"/>
      <c r="C1" s="213"/>
      <c r="D1" s="213"/>
    </row>
    <row r="2" spans="1:6" ht="13.2" x14ac:dyDescent="0.25">
      <c r="A2" s="213" t="s">
        <v>237</v>
      </c>
      <c r="B2" s="213"/>
      <c r="C2" s="213"/>
      <c r="D2" s="213"/>
    </row>
    <row r="3" spans="1:6" ht="13.2" x14ac:dyDescent="0.25">
      <c r="A3" s="213" t="s">
        <v>231</v>
      </c>
      <c r="B3" s="213"/>
      <c r="C3" s="213"/>
      <c r="D3" s="213"/>
    </row>
    <row r="4" spans="1:6" ht="13.2" x14ac:dyDescent="0.25">
      <c r="A4" s="213" t="s">
        <v>236</v>
      </c>
      <c r="B4" s="213"/>
      <c r="C4" s="213"/>
      <c r="D4" s="213"/>
    </row>
    <row r="5" spans="1:6" ht="9" customHeight="1" x14ac:dyDescent="0.25">
      <c r="A5" s="213"/>
      <c r="B5" s="213"/>
      <c r="C5" s="213"/>
      <c r="D5" s="213"/>
    </row>
    <row r="6" spans="1:6" ht="13.2" x14ac:dyDescent="0.25">
      <c r="A6" s="213" t="s">
        <v>229</v>
      </c>
      <c r="B6" s="213"/>
      <c r="C6" s="213"/>
      <c r="D6" s="213"/>
    </row>
    <row r="7" spans="1:6" ht="13.2" x14ac:dyDescent="0.25">
      <c r="A7" s="212" t="s">
        <v>194</v>
      </c>
      <c r="B7" s="212"/>
      <c r="C7" s="212"/>
      <c r="D7" s="212"/>
    </row>
    <row r="8" spans="1:6" ht="9.75" customHeight="1" x14ac:dyDescent="0.25">
      <c r="A8" s="94"/>
      <c r="B8" s="94"/>
      <c r="C8" s="94"/>
      <c r="D8" s="94"/>
    </row>
    <row r="9" spans="1:6" ht="13.2" x14ac:dyDescent="0.25">
      <c r="A9" s="72" t="s">
        <v>228</v>
      </c>
      <c r="B9" s="69"/>
      <c r="C9" s="69"/>
      <c r="D9" s="93" t="s">
        <v>227</v>
      </c>
    </row>
    <row r="10" spans="1:6" ht="8.1" customHeight="1" x14ac:dyDescent="0.25">
      <c r="A10" s="69"/>
      <c r="B10" s="69"/>
      <c r="C10" s="69"/>
      <c r="D10" s="69"/>
    </row>
    <row r="11" spans="1:6" ht="13.2" x14ac:dyDescent="0.25">
      <c r="A11" s="69" t="s">
        <v>136</v>
      </c>
      <c r="B11" s="73">
        <v>1691446612</v>
      </c>
      <c r="C11" s="87"/>
      <c r="D11" s="77">
        <f t="shared" ref="D11:D16" si="0">ROUND(B11/$B$17,4)</f>
        <v>0.57740000000000002</v>
      </c>
      <c r="E11" s="80"/>
      <c r="F11" s="89"/>
    </row>
    <row r="12" spans="1:6" ht="13.2" x14ac:dyDescent="0.25">
      <c r="A12" s="69" t="s">
        <v>226</v>
      </c>
      <c r="B12" s="70">
        <v>65832343</v>
      </c>
      <c r="C12" s="70"/>
      <c r="D12" s="77">
        <f t="shared" si="0"/>
        <v>2.2499999999999999E-2</v>
      </c>
      <c r="F12" s="90"/>
    </row>
    <row r="13" spans="1:6" ht="13.2" x14ac:dyDescent="0.25">
      <c r="A13" s="69" t="s">
        <v>225</v>
      </c>
      <c r="B13" s="70">
        <v>929045885</v>
      </c>
      <c r="C13" s="70"/>
      <c r="D13" s="77">
        <f t="shared" si="0"/>
        <v>0.31719999999999998</v>
      </c>
      <c r="E13" s="80"/>
      <c r="F13" s="90"/>
    </row>
    <row r="14" spans="1:6" ht="13.2" x14ac:dyDescent="0.25">
      <c r="A14" s="69" t="s">
        <v>138</v>
      </c>
      <c r="B14" s="70">
        <v>76057438</v>
      </c>
      <c r="C14" s="70"/>
      <c r="D14" s="77">
        <f t="shared" si="0"/>
        <v>2.5999999999999999E-2</v>
      </c>
      <c r="F14" s="90"/>
    </row>
    <row r="15" spans="1:6" ht="13.2" x14ac:dyDescent="0.25">
      <c r="A15" s="69" t="s">
        <v>139</v>
      </c>
      <c r="B15" s="70">
        <v>162111343</v>
      </c>
      <c r="C15" s="70"/>
      <c r="D15" s="77">
        <f t="shared" si="0"/>
        <v>5.5300000000000002E-2</v>
      </c>
      <c r="F15" s="90"/>
    </row>
    <row r="16" spans="1:6" ht="13.8" thickBot="1" x14ac:dyDescent="0.3">
      <c r="A16" s="69" t="s">
        <v>224</v>
      </c>
      <c r="B16" s="70">
        <v>4739342</v>
      </c>
      <c r="C16" s="70"/>
      <c r="D16" s="77">
        <f t="shared" si="0"/>
        <v>1.6000000000000001E-3</v>
      </c>
      <c r="F16" s="90"/>
    </row>
    <row r="17" spans="1:8" ht="13.8" thickTop="1" x14ac:dyDescent="0.25">
      <c r="A17" s="72" t="s">
        <v>223</v>
      </c>
      <c r="B17" s="71">
        <f>SUM(B11:B16)</f>
        <v>2929232963</v>
      </c>
      <c r="C17" s="91">
        <f>SUM(C11:C16)</f>
        <v>0</v>
      </c>
      <c r="D17" s="82">
        <f>SUM(D11:D16)</f>
        <v>1</v>
      </c>
      <c r="F17" s="90"/>
    </row>
    <row r="18" spans="1:8" ht="15" customHeight="1" x14ac:dyDescent="0.25">
      <c r="A18" s="72"/>
      <c r="B18" s="70"/>
      <c r="C18" s="70"/>
      <c r="D18" s="77"/>
      <c r="F18" s="89"/>
    </row>
    <row r="19" spans="1:8" ht="13.5" customHeight="1" x14ac:dyDescent="0.25">
      <c r="A19" s="69" t="s">
        <v>222</v>
      </c>
      <c r="B19" s="76">
        <v>35250037</v>
      </c>
      <c r="C19" s="69"/>
      <c r="D19" s="69"/>
    </row>
    <row r="20" spans="1:8" ht="13.2" x14ac:dyDescent="0.25">
      <c r="A20" s="69"/>
      <c r="B20" s="88"/>
      <c r="C20" s="88"/>
      <c r="D20" s="88"/>
    </row>
    <row r="21" spans="1:8" ht="6.75" customHeight="1" x14ac:dyDescent="0.25">
      <c r="A21" s="69"/>
      <c r="B21" s="69"/>
      <c r="C21" s="69"/>
      <c r="D21" s="69"/>
    </row>
    <row r="22" spans="1:8" ht="11.1" customHeight="1" x14ac:dyDescent="0.25">
      <c r="A22" s="72" t="s">
        <v>221</v>
      </c>
      <c r="B22" s="69"/>
      <c r="C22" s="69"/>
      <c r="D22" s="69"/>
    </row>
    <row r="23" spans="1:8" ht="13.2" x14ac:dyDescent="0.25">
      <c r="A23" s="69"/>
      <c r="B23" s="69"/>
      <c r="C23" s="69"/>
      <c r="D23" s="69"/>
    </row>
    <row r="24" spans="1:8" ht="11.1" customHeight="1" x14ac:dyDescent="0.25">
      <c r="A24" s="69" t="s">
        <v>220</v>
      </c>
      <c r="B24" s="73">
        <v>1136255077</v>
      </c>
      <c r="C24" s="70"/>
      <c r="D24" s="77">
        <f>ROUND(B24/$B$42,4)</f>
        <v>0.41049999999999998</v>
      </c>
      <c r="F24" s="85"/>
    </row>
    <row r="25" spans="1:8" ht="13.2" x14ac:dyDescent="0.25">
      <c r="A25" s="69" t="s">
        <v>219</v>
      </c>
      <c r="B25" s="70">
        <v>531603326</v>
      </c>
      <c r="C25" s="70"/>
      <c r="D25" s="77">
        <f>ROUND(B25/$B$42,4)</f>
        <v>0.19209999999999999</v>
      </c>
      <c r="E25" s="77"/>
      <c r="F25" s="85"/>
      <c r="G25" s="86"/>
      <c r="H25" s="78"/>
    </row>
    <row r="26" spans="1:8" ht="13.2" x14ac:dyDescent="0.25">
      <c r="A26" s="69" t="s">
        <v>218</v>
      </c>
      <c r="B26" s="70">
        <v>39603679</v>
      </c>
      <c r="C26" s="70"/>
      <c r="D26" s="77">
        <f>ROUND(B26/$B$42,4)</f>
        <v>1.43E-2</v>
      </c>
      <c r="E26" s="77"/>
      <c r="F26" s="85"/>
      <c r="G26" s="86"/>
      <c r="H26" s="78"/>
    </row>
    <row r="27" spans="1:8" ht="13.2" x14ac:dyDescent="0.25">
      <c r="A27" s="69" t="s">
        <v>147</v>
      </c>
      <c r="B27" s="70">
        <v>45359416</v>
      </c>
      <c r="C27" s="70"/>
      <c r="D27" s="77">
        <f>ROUND(B27/$B$42,4)</f>
        <v>1.6400000000000001E-2</v>
      </c>
      <c r="E27" s="77"/>
      <c r="F27" s="85"/>
      <c r="G27" s="86"/>
      <c r="H27" s="78"/>
    </row>
    <row r="28" spans="1:8" ht="13.2" x14ac:dyDescent="0.25">
      <c r="A28" s="69"/>
      <c r="B28" s="87"/>
      <c r="C28" s="70"/>
      <c r="D28" s="77"/>
      <c r="E28" s="77"/>
      <c r="G28" s="84"/>
      <c r="H28" s="78"/>
    </row>
    <row r="29" spans="1:8" ht="11.1" customHeight="1" x14ac:dyDescent="0.25">
      <c r="A29" s="69" t="s">
        <v>148</v>
      </c>
      <c r="B29" s="70">
        <v>204117287</v>
      </c>
      <c r="C29" s="70"/>
      <c r="D29" s="77">
        <f t="shared" ref="D29:D40" si="1">ROUND(B29/$B$42,4)</f>
        <v>7.3700000000000002E-2</v>
      </c>
      <c r="E29" s="77"/>
      <c r="F29" s="85"/>
      <c r="G29" s="86"/>
      <c r="H29" s="78"/>
    </row>
    <row r="30" spans="1:8" ht="13.2" x14ac:dyDescent="0.25">
      <c r="A30" s="69" t="s">
        <v>149</v>
      </c>
      <c r="B30" s="70">
        <v>90283985</v>
      </c>
      <c r="C30" s="70"/>
      <c r="D30" s="77">
        <f t="shared" si="1"/>
        <v>3.2599999999999997E-2</v>
      </c>
      <c r="E30" s="77"/>
      <c r="F30" s="85"/>
      <c r="G30" s="86"/>
      <c r="H30" s="78"/>
    </row>
    <row r="31" spans="1:8" ht="13.2" x14ac:dyDescent="0.25">
      <c r="A31" s="69" t="s">
        <v>217</v>
      </c>
      <c r="B31" s="70">
        <v>110603390</v>
      </c>
      <c r="C31" s="70"/>
      <c r="D31" s="77">
        <f t="shared" si="1"/>
        <v>0.04</v>
      </c>
      <c r="E31" s="77"/>
      <c r="F31" s="85"/>
      <c r="G31" s="86"/>
      <c r="H31" s="78"/>
    </row>
    <row r="32" spans="1:8" ht="13.2" x14ac:dyDescent="0.25">
      <c r="A32" s="69" t="s">
        <v>151</v>
      </c>
      <c r="B32" s="70">
        <v>152300090</v>
      </c>
      <c r="C32" s="70"/>
      <c r="D32" s="77">
        <f t="shared" si="1"/>
        <v>5.5E-2</v>
      </c>
      <c r="E32" s="77"/>
      <c r="F32" s="85"/>
      <c r="G32" s="86"/>
      <c r="H32" s="78"/>
    </row>
    <row r="33" spans="1:8" ht="13.2" x14ac:dyDescent="0.25">
      <c r="A33" s="69" t="s">
        <v>99</v>
      </c>
      <c r="B33" s="70">
        <v>16666968</v>
      </c>
      <c r="C33" s="70"/>
      <c r="D33" s="77">
        <f t="shared" si="1"/>
        <v>6.0000000000000001E-3</v>
      </c>
      <c r="E33" s="77"/>
      <c r="F33" s="85"/>
      <c r="G33" s="86"/>
      <c r="H33" s="78"/>
    </row>
    <row r="34" spans="1:8" ht="13.2" x14ac:dyDescent="0.25">
      <c r="A34" s="69" t="s">
        <v>152</v>
      </c>
      <c r="B34" s="70">
        <v>236226375</v>
      </c>
      <c r="C34" s="70"/>
      <c r="D34" s="77">
        <f t="shared" si="1"/>
        <v>8.5300000000000001E-2</v>
      </c>
      <c r="E34" s="77"/>
      <c r="F34" s="85"/>
      <c r="G34" s="86"/>
      <c r="H34" s="78"/>
    </row>
    <row r="35" spans="1:8" ht="13.2" x14ac:dyDescent="0.25">
      <c r="A35" s="69" t="s">
        <v>103</v>
      </c>
      <c r="B35" s="70">
        <v>121658915</v>
      </c>
      <c r="C35" s="70"/>
      <c r="D35" s="77">
        <f t="shared" si="1"/>
        <v>4.3999999999999997E-2</v>
      </c>
      <c r="E35" s="77"/>
      <c r="F35" s="85"/>
      <c r="G35" s="86"/>
      <c r="H35" s="78"/>
    </row>
    <row r="36" spans="1:8" ht="13.2" x14ac:dyDescent="0.25">
      <c r="A36" s="69" t="s">
        <v>153</v>
      </c>
      <c r="B36" s="70">
        <v>158422</v>
      </c>
      <c r="C36" s="70"/>
      <c r="D36" s="77">
        <f t="shared" si="1"/>
        <v>1E-4</v>
      </c>
      <c r="E36" s="77"/>
      <c r="F36" s="85"/>
      <c r="G36" s="86"/>
      <c r="H36" s="78"/>
    </row>
    <row r="37" spans="1:8" ht="13.2" x14ac:dyDescent="0.25">
      <c r="A37" s="69" t="s">
        <v>154</v>
      </c>
      <c r="B37" s="70">
        <v>6172431</v>
      </c>
      <c r="C37" s="70"/>
      <c r="D37" s="77">
        <f t="shared" si="1"/>
        <v>2.2000000000000001E-3</v>
      </c>
      <c r="E37" s="77"/>
      <c r="F37" s="85"/>
      <c r="G37" s="86"/>
      <c r="H37" s="78"/>
    </row>
    <row r="38" spans="1:8" ht="13.2" x14ac:dyDescent="0.25">
      <c r="A38" s="69" t="s">
        <v>163</v>
      </c>
      <c r="B38" s="70">
        <v>41362251</v>
      </c>
      <c r="C38" s="70"/>
      <c r="D38" s="77">
        <f t="shared" si="1"/>
        <v>1.49E-2</v>
      </c>
      <c r="E38" s="77"/>
      <c r="F38" s="85"/>
      <c r="G38" s="86"/>
      <c r="H38" s="78"/>
    </row>
    <row r="39" spans="1:8" ht="13.2" x14ac:dyDescent="0.25">
      <c r="A39" s="69" t="s">
        <v>157</v>
      </c>
      <c r="B39" s="70">
        <v>854573</v>
      </c>
      <c r="C39" s="70"/>
      <c r="D39" s="77">
        <f t="shared" si="1"/>
        <v>2.9999999999999997E-4</v>
      </c>
      <c r="E39" s="77"/>
      <c r="F39" s="85"/>
      <c r="G39" s="86"/>
      <c r="H39" s="78"/>
    </row>
    <row r="40" spans="1:8" ht="13.2" x14ac:dyDescent="0.25">
      <c r="A40" s="69" t="s">
        <v>104</v>
      </c>
      <c r="B40" s="70">
        <v>34640823</v>
      </c>
      <c r="C40" s="70"/>
      <c r="D40" s="77">
        <f t="shared" si="1"/>
        <v>1.2500000000000001E-2</v>
      </c>
      <c r="E40" s="77"/>
      <c r="F40" s="85"/>
      <c r="G40" s="84"/>
      <c r="H40" s="78"/>
    </row>
    <row r="41" spans="1:8" ht="12" customHeight="1" thickBot="1" x14ac:dyDescent="0.3">
      <c r="A41" s="69"/>
      <c r="B41" s="70"/>
      <c r="C41" s="70"/>
      <c r="D41" s="77"/>
      <c r="E41" s="77"/>
      <c r="H41" s="78"/>
    </row>
    <row r="42" spans="1:8" ht="14.25" customHeight="1" thickTop="1" x14ac:dyDescent="0.25">
      <c r="A42" s="72" t="s">
        <v>216</v>
      </c>
      <c r="B42" s="71">
        <f>SUM(B24:B40)</f>
        <v>2767867008</v>
      </c>
      <c r="C42" s="83"/>
      <c r="D42" s="82">
        <f>SUM(D24:D40)</f>
        <v>0.99990000000000001</v>
      </c>
    </row>
    <row r="43" spans="1:8" ht="15" customHeight="1" x14ac:dyDescent="0.25">
      <c r="A43" s="69" t="s">
        <v>158</v>
      </c>
      <c r="B43" s="76">
        <v>52544557</v>
      </c>
      <c r="C43" s="70"/>
      <c r="D43" s="77"/>
      <c r="E43" s="81"/>
      <c r="F43" s="80"/>
      <c r="G43" s="79"/>
      <c r="H43" s="78"/>
    </row>
    <row r="44" spans="1:8" ht="5.25" customHeight="1" x14ac:dyDescent="0.25">
      <c r="A44" s="69"/>
      <c r="B44" s="76"/>
      <c r="C44" s="70"/>
      <c r="D44" s="77"/>
    </row>
    <row r="45" spans="1:8" ht="12.75" customHeight="1" x14ac:dyDescent="0.25">
      <c r="A45" s="72" t="s">
        <v>215</v>
      </c>
      <c r="B45" s="73">
        <f>SUM(B42:B44)</f>
        <v>2820411565</v>
      </c>
      <c r="C45" s="69"/>
      <c r="D45" s="69"/>
    </row>
    <row r="46" spans="1:8" ht="5.25" customHeight="1" x14ac:dyDescent="0.25">
      <c r="A46" s="69"/>
      <c r="B46" s="76"/>
      <c r="C46" s="70"/>
      <c r="D46" s="77"/>
    </row>
    <row r="47" spans="1:8" ht="13.5" customHeight="1" x14ac:dyDescent="0.25">
      <c r="A47" s="69" t="s">
        <v>214</v>
      </c>
      <c r="B47" s="76">
        <v>94172003</v>
      </c>
      <c r="C47" s="69"/>
      <c r="D47" s="69"/>
    </row>
    <row r="48" spans="1:8" ht="13.8" thickBot="1" x14ac:dyDescent="0.3">
      <c r="A48" s="69"/>
      <c r="B48" s="69"/>
      <c r="C48" s="69"/>
      <c r="D48" s="69"/>
    </row>
    <row r="49" spans="1:4" ht="13.5" customHeight="1" thickTop="1" x14ac:dyDescent="0.25">
      <c r="A49" s="75" t="s">
        <v>213</v>
      </c>
      <c r="B49" s="74"/>
      <c r="C49" s="74"/>
      <c r="D49" s="74"/>
    </row>
    <row r="50" spans="1:4" ht="13.2" x14ac:dyDescent="0.25">
      <c r="A50" s="69"/>
      <c r="B50" s="69"/>
      <c r="C50" s="69"/>
      <c r="D50" s="69"/>
    </row>
    <row r="51" spans="1:4" ht="11.1" customHeight="1" x14ac:dyDescent="0.25">
      <c r="A51" s="72" t="s">
        <v>212</v>
      </c>
      <c r="B51" s="69"/>
      <c r="C51" s="69"/>
      <c r="D51" s="69"/>
    </row>
    <row r="52" spans="1:4" ht="13.2" x14ac:dyDescent="0.25">
      <c r="A52" s="69" t="s">
        <v>211</v>
      </c>
      <c r="B52" s="70">
        <v>100588504.41000003</v>
      </c>
      <c r="C52" s="69"/>
      <c r="D52" s="69"/>
    </row>
    <row r="53" spans="1:4" ht="13.2" x14ac:dyDescent="0.25">
      <c r="A53" s="69" t="s">
        <v>210</v>
      </c>
      <c r="B53" s="70">
        <v>318851</v>
      </c>
      <c r="C53" s="69"/>
      <c r="D53" s="69"/>
    </row>
    <row r="54" spans="1:4" ht="13.2" x14ac:dyDescent="0.25">
      <c r="A54" s="69" t="s">
        <v>205</v>
      </c>
      <c r="B54" s="70">
        <v>35993772.609999999</v>
      </c>
      <c r="C54" s="69"/>
      <c r="D54" s="69"/>
    </row>
    <row r="55" spans="1:4" ht="13.8" thickBot="1" x14ac:dyDescent="0.3">
      <c r="A55" s="69" t="s">
        <v>209</v>
      </c>
      <c r="B55" s="70">
        <v>1318140</v>
      </c>
      <c r="C55" s="69"/>
      <c r="D55" s="69"/>
    </row>
    <row r="56" spans="1:4" ht="13.8" thickTop="1" x14ac:dyDescent="0.25">
      <c r="A56" s="72" t="s">
        <v>208</v>
      </c>
      <c r="B56" s="71">
        <f>SUM(B52:B55)</f>
        <v>138219268.02000004</v>
      </c>
      <c r="C56" s="69"/>
      <c r="D56" s="69"/>
    </row>
    <row r="57" spans="1:4" ht="15" customHeight="1" x14ac:dyDescent="0.25">
      <c r="A57" s="69"/>
      <c r="B57" s="69"/>
      <c r="C57" s="69"/>
      <c r="D57" s="69"/>
    </row>
    <row r="58" spans="1:4" ht="11.1" customHeight="1" x14ac:dyDescent="0.25">
      <c r="A58" s="72" t="s">
        <v>207</v>
      </c>
      <c r="B58" s="69"/>
      <c r="C58" s="69"/>
      <c r="D58" s="69"/>
    </row>
    <row r="59" spans="1:4" ht="13.2" x14ac:dyDescent="0.25">
      <c r="A59" s="69" t="s">
        <v>206</v>
      </c>
      <c r="B59" s="73">
        <v>106989097</v>
      </c>
      <c r="C59" s="69"/>
      <c r="D59" s="69"/>
    </row>
    <row r="60" spans="1:4" ht="13.8" thickBot="1" x14ac:dyDescent="0.3">
      <c r="A60" s="69" t="s">
        <v>205</v>
      </c>
      <c r="B60" s="70">
        <v>35993772.609999999</v>
      </c>
      <c r="C60" s="69"/>
      <c r="D60" s="69"/>
    </row>
    <row r="61" spans="1:4" ht="13.8" thickTop="1" x14ac:dyDescent="0.25">
      <c r="A61" s="72" t="s">
        <v>204</v>
      </c>
      <c r="B61" s="71">
        <f>SUM(B59:B60)</f>
        <v>142982869.61000001</v>
      </c>
      <c r="C61" s="69"/>
      <c r="D61" s="69"/>
    </row>
    <row r="62" spans="1:4" ht="15" customHeight="1" x14ac:dyDescent="0.25">
      <c r="A62" s="69"/>
      <c r="B62" s="69"/>
      <c r="C62" s="69"/>
      <c r="D62" s="69"/>
    </row>
    <row r="63" spans="1:4" ht="11.1" customHeight="1" x14ac:dyDescent="0.25">
      <c r="A63" s="69" t="s">
        <v>203</v>
      </c>
      <c r="B63" s="69"/>
      <c r="C63" s="69"/>
      <c r="D63" s="69"/>
    </row>
    <row r="64" spans="1:4" ht="13.2" x14ac:dyDescent="0.25">
      <c r="A64" s="69" t="s">
        <v>202</v>
      </c>
      <c r="B64" s="70"/>
      <c r="C64" s="69"/>
      <c r="D64" s="69"/>
    </row>
    <row r="65" spans="1:4" ht="13.2" x14ac:dyDescent="0.25">
      <c r="A65" s="69"/>
      <c r="B65" s="69"/>
      <c r="C65" s="69"/>
      <c r="D65" s="69"/>
    </row>
    <row r="66" spans="1:4" ht="12" customHeight="1" x14ac:dyDescent="0.25">
      <c r="A66" s="69" t="s">
        <v>239</v>
      </c>
      <c r="B66" s="69"/>
      <c r="C66" s="69"/>
      <c r="D66" s="69"/>
    </row>
    <row r="67" spans="1:4" ht="13.2" x14ac:dyDescent="0.25">
      <c r="A67" s="69" t="s">
        <v>238</v>
      </c>
      <c r="B67" s="69"/>
      <c r="C67" s="69"/>
      <c r="D67" s="69"/>
    </row>
    <row r="68" spans="1:4" ht="13.2" x14ac:dyDescent="0.25">
      <c r="A68" s="69"/>
      <c r="B68" s="69"/>
      <c r="C68" s="69"/>
      <c r="D68" s="69"/>
    </row>
  </sheetData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 xml:space="preserve">&amp;RDecember 15,2014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68"/>
  <sheetViews>
    <sheetView workbookViewId="0">
      <selection activeCell="B11" sqref="B11:B19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6" ht="13.2" x14ac:dyDescent="0.25">
      <c r="A1" s="213" t="s">
        <v>233</v>
      </c>
      <c r="B1" s="213"/>
      <c r="C1" s="213"/>
      <c r="D1" s="213"/>
    </row>
    <row r="2" spans="1:6" ht="13.2" x14ac:dyDescent="0.25">
      <c r="A2" s="213" t="s">
        <v>237</v>
      </c>
      <c r="B2" s="213"/>
      <c r="C2" s="213"/>
      <c r="D2" s="213"/>
    </row>
    <row r="3" spans="1:6" ht="13.2" x14ac:dyDescent="0.25">
      <c r="A3" s="213" t="s">
        <v>231</v>
      </c>
      <c r="B3" s="213"/>
      <c r="C3" s="213"/>
      <c r="D3" s="213"/>
    </row>
    <row r="4" spans="1:6" ht="13.2" x14ac:dyDescent="0.25">
      <c r="A4" s="213" t="s">
        <v>236</v>
      </c>
      <c r="B4" s="213"/>
      <c r="C4" s="213"/>
      <c r="D4" s="213"/>
    </row>
    <row r="5" spans="1:6" ht="9" customHeight="1" x14ac:dyDescent="0.25">
      <c r="A5" s="213"/>
      <c r="B5" s="213"/>
      <c r="C5" s="213"/>
      <c r="D5" s="213"/>
    </row>
    <row r="6" spans="1:6" ht="13.2" x14ac:dyDescent="0.25">
      <c r="A6" s="213" t="s">
        <v>229</v>
      </c>
      <c r="B6" s="213"/>
      <c r="C6" s="213"/>
      <c r="D6" s="213"/>
    </row>
    <row r="7" spans="1:6" ht="13.2" x14ac:dyDescent="0.25">
      <c r="A7" s="212" t="s">
        <v>193</v>
      </c>
      <c r="B7" s="212"/>
      <c r="C7" s="212"/>
      <c r="D7" s="212"/>
    </row>
    <row r="8" spans="1:6" ht="9.75" customHeight="1" x14ac:dyDescent="0.25">
      <c r="A8" s="94"/>
      <c r="B8" s="94"/>
      <c r="C8" s="94"/>
      <c r="D8" s="94"/>
    </row>
    <row r="9" spans="1:6" ht="13.2" x14ac:dyDescent="0.25">
      <c r="A9" s="72" t="s">
        <v>228</v>
      </c>
      <c r="B9" s="69"/>
      <c r="C9" s="69"/>
      <c r="D9" s="93" t="s">
        <v>227</v>
      </c>
    </row>
    <row r="10" spans="1:6" ht="8.1" customHeight="1" x14ac:dyDescent="0.25">
      <c r="A10" s="69"/>
      <c r="B10" s="69"/>
      <c r="C10" s="69"/>
      <c r="D10" s="69"/>
    </row>
    <row r="11" spans="1:6" ht="13.2" x14ac:dyDescent="0.25">
      <c r="A11" s="69" t="s">
        <v>136</v>
      </c>
      <c r="B11" s="73">
        <v>1616304139</v>
      </c>
      <c r="C11" s="87"/>
      <c r="D11" s="77">
        <f t="shared" ref="D11:D16" si="0">ROUND(B11/$B$17,4)</f>
        <v>0.56899999999999995</v>
      </c>
      <c r="E11" s="80"/>
      <c r="F11" s="89"/>
    </row>
    <row r="12" spans="1:6" ht="13.2" x14ac:dyDescent="0.25">
      <c r="A12" s="69" t="s">
        <v>226</v>
      </c>
      <c r="B12" s="70">
        <v>37171834</v>
      </c>
      <c r="C12" s="70"/>
      <c r="D12" s="77">
        <f t="shared" si="0"/>
        <v>1.3100000000000001E-2</v>
      </c>
      <c r="F12" s="90"/>
    </row>
    <row r="13" spans="1:6" ht="13.2" x14ac:dyDescent="0.25">
      <c r="A13" s="69" t="s">
        <v>225</v>
      </c>
      <c r="B13" s="70">
        <v>940938788</v>
      </c>
      <c r="C13" s="70"/>
      <c r="D13" s="77">
        <f t="shared" si="0"/>
        <v>0.33119999999999999</v>
      </c>
      <c r="E13" s="80"/>
      <c r="F13" s="90"/>
    </row>
    <row r="14" spans="1:6" ht="13.2" x14ac:dyDescent="0.25">
      <c r="A14" s="69" t="s">
        <v>138</v>
      </c>
      <c r="B14" s="70">
        <v>79300016</v>
      </c>
      <c r="C14" s="70"/>
      <c r="D14" s="77">
        <f t="shared" si="0"/>
        <v>2.7900000000000001E-2</v>
      </c>
      <c r="F14" s="90"/>
    </row>
    <row r="15" spans="1:6" ht="13.2" x14ac:dyDescent="0.25">
      <c r="A15" s="69" t="s">
        <v>139</v>
      </c>
      <c r="B15" s="70">
        <v>164398409</v>
      </c>
      <c r="C15" s="70"/>
      <c r="D15" s="77">
        <f t="shared" si="0"/>
        <v>5.79E-2</v>
      </c>
      <c r="F15" s="90"/>
    </row>
    <row r="16" spans="1:6" ht="13.8" thickBot="1" x14ac:dyDescent="0.3">
      <c r="A16" s="69" t="s">
        <v>224</v>
      </c>
      <c r="B16" s="70">
        <v>2649440</v>
      </c>
      <c r="C16" s="70"/>
      <c r="D16" s="77">
        <f t="shared" si="0"/>
        <v>8.9999999999999998E-4</v>
      </c>
      <c r="F16" s="90"/>
    </row>
    <row r="17" spans="1:8" ht="13.8" thickTop="1" x14ac:dyDescent="0.25">
      <c r="A17" s="72" t="s">
        <v>223</v>
      </c>
      <c r="B17" s="71">
        <f>SUM(B11:B16)</f>
        <v>2840762626</v>
      </c>
      <c r="C17" s="91">
        <f>SUM(C11:C16)</f>
        <v>0</v>
      </c>
      <c r="D17" s="82">
        <f>SUM(D11:D16)</f>
        <v>1</v>
      </c>
      <c r="F17" s="90"/>
    </row>
    <row r="18" spans="1:8" ht="15" customHeight="1" x14ac:dyDescent="0.25">
      <c r="A18" s="72"/>
      <c r="B18" s="70"/>
      <c r="C18" s="70"/>
      <c r="D18" s="77"/>
      <c r="F18" s="89"/>
    </row>
    <row r="19" spans="1:8" ht="13.5" customHeight="1" x14ac:dyDescent="0.25">
      <c r="A19" s="69" t="s">
        <v>222</v>
      </c>
      <c r="B19" s="76">
        <v>8973589</v>
      </c>
      <c r="C19" s="69"/>
      <c r="D19" s="69"/>
    </row>
    <row r="20" spans="1:8" ht="13.2" x14ac:dyDescent="0.25">
      <c r="A20" s="69"/>
      <c r="B20" s="88"/>
      <c r="C20" s="88"/>
      <c r="D20" s="88"/>
    </row>
    <row r="21" spans="1:8" ht="6.75" customHeight="1" x14ac:dyDescent="0.25">
      <c r="A21" s="69"/>
      <c r="B21" s="69"/>
      <c r="C21" s="69"/>
      <c r="D21" s="69"/>
    </row>
    <row r="22" spans="1:8" ht="11.1" customHeight="1" x14ac:dyDescent="0.25">
      <c r="A22" s="72" t="s">
        <v>221</v>
      </c>
      <c r="B22" s="69"/>
      <c r="C22" s="69"/>
      <c r="D22" s="69"/>
    </row>
    <row r="23" spans="1:8" ht="13.2" x14ac:dyDescent="0.25">
      <c r="A23" s="69"/>
      <c r="B23" s="69"/>
      <c r="C23" s="69"/>
      <c r="D23" s="69"/>
    </row>
    <row r="24" spans="1:8" ht="11.1" customHeight="1" x14ac:dyDescent="0.25">
      <c r="A24" s="69" t="s">
        <v>220</v>
      </c>
      <c r="B24" s="73">
        <v>1116130940</v>
      </c>
      <c r="C24" s="70"/>
      <c r="D24" s="77">
        <f>ROUND(B24/$B$42,4)</f>
        <v>0.41299999999999998</v>
      </c>
      <c r="F24" s="85"/>
    </row>
    <row r="25" spans="1:8" ht="13.2" x14ac:dyDescent="0.25">
      <c r="A25" s="69" t="s">
        <v>219</v>
      </c>
      <c r="B25" s="70">
        <v>520481101</v>
      </c>
      <c r="C25" s="70"/>
      <c r="D25" s="77">
        <f>ROUND(B25/$B$42,4)</f>
        <v>0.19259999999999999</v>
      </c>
      <c r="E25" s="77"/>
      <c r="F25" s="85"/>
      <c r="G25" s="86"/>
      <c r="H25" s="78"/>
    </row>
    <row r="26" spans="1:8" ht="13.2" x14ac:dyDescent="0.25">
      <c r="A26" s="69" t="s">
        <v>218</v>
      </c>
      <c r="B26" s="70">
        <v>39406698</v>
      </c>
      <c r="C26" s="70"/>
      <c r="D26" s="77">
        <f>ROUND(B26/$B$42,4)</f>
        <v>1.46E-2</v>
      </c>
      <c r="E26" s="77"/>
      <c r="F26" s="85"/>
      <c r="G26" s="86"/>
      <c r="H26" s="78"/>
    </row>
    <row r="27" spans="1:8" ht="13.2" x14ac:dyDescent="0.25">
      <c r="A27" s="69" t="s">
        <v>147</v>
      </c>
      <c r="B27" s="70">
        <v>44558290</v>
      </c>
      <c r="C27" s="70"/>
      <c r="D27" s="77">
        <f>ROUND(B27/$B$42,4)</f>
        <v>1.6500000000000001E-2</v>
      </c>
      <c r="E27" s="77"/>
      <c r="F27" s="85"/>
      <c r="G27" s="86"/>
      <c r="H27" s="78"/>
    </row>
    <row r="28" spans="1:8" ht="13.2" x14ac:dyDescent="0.25">
      <c r="A28" s="69"/>
      <c r="B28" s="87"/>
      <c r="C28" s="70"/>
      <c r="D28" s="77"/>
      <c r="E28" s="77"/>
      <c r="G28" s="84"/>
      <c r="H28" s="78"/>
    </row>
    <row r="29" spans="1:8" ht="11.1" customHeight="1" x14ac:dyDescent="0.25">
      <c r="A29" s="69" t="s">
        <v>148</v>
      </c>
      <c r="B29" s="70">
        <v>198831718</v>
      </c>
      <c r="C29" s="70"/>
      <c r="D29" s="77">
        <f t="shared" ref="D29:D39" si="1">ROUND(B29/$B$42,4)</f>
        <v>7.3599999999999999E-2</v>
      </c>
      <c r="E29" s="77"/>
      <c r="F29" s="85"/>
      <c r="G29" s="86"/>
      <c r="H29" s="78"/>
    </row>
    <row r="30" spans="1:8" ht="13.2" x14ac:dyDescent="0.25">
      <c r="A30" s="69" t="s">
        <v>149</v>
      </c>
      <c r="B30" s="70">
        <v>89918683</v>
      </c>
      <c r="C30" s="70"/>
      <c r="D30" s="77">
        <f t="shared" si="1"/>
        <v>3.3300000000000003E-2</v>
      </c>
      <c r="E30" s="77"/>
      <c r="F30" s="85"/>
      <c r="G30" s="86"/>
      <c r="H30" s="78"/>
    </row>
    <row r="31" spans="1:8" ht="13.2" x14ac:dyDescent="0.25">
      <c r="A31" s="69" t="s">
        <v>217</v>
      </c>
      <c r="B31" s="70">
        <v>106436990</v>
      </c>
      <c r="C31" s="70"/>
      <c r="D31" s="77">
        <f t="shared" si="1"/>
        <v>3.9399999999999998E-2</v>
      </c>
      <c r="E31" s="77"/>
      <c r="F31" s="85"/>
      <c r="G31" s="86"/>
      <c r="H31" s="78"/>
    </row>
    <row r="32" spans="1:8" ht="13.2" x14ac:dyDescent="0.25">
      <c r="A32" s="69" t="s">
        <v>151</v>
      </c>
      <c r="B32" s="70">
        <v>145819210</v>
      </c>
      <c r="C32" s="70"/>
      <c r="D32" s="77">
        <f t="shared" si="1"/>
        <v>5.3999999999999999E-2</v>
      </c>
      <c r="E32" s="77"/>
      <c r="F32" s="85"/>
      <c r="G32" s="86"/>
      <c r="H32" s="78"/>
    </row>
    <row r="33" spans="1:8" ht="13.2" x14ac:dyDescent="0.25">
      <c r="A33" s="69" t="s">
        <v>99</v>
      </c>
      <c r="B33" s="70">
        <v>15636681</v>
      </c>
      <c r="C33" s="70"/>
      <c r="D33" s="77">
        <f t="shared" si="1"/>
        <v>5.7999999999999996E-3</v>
      </c>
      <c r="E33" s="77"/>
      <c r="F33" s="85"/>
      <c r="G33" s="86"/>
      <c r="H33" s="78"/>
    </row>
    <row r="34" spans="1:8" ht="13.2" x14ac:dyDescent="0.25">
      <c r="A34" s="69" t="s">
        <v>152</v>
      </c>
      <c r="B34" s="70">
        <v>223352642</v>
      </c>
      <c r="C34" s="70"/>
      <c r="D34" s="77">
        <f t="shared" si="1"/>
        <v>8.2600000000000007E-2</v>
      </c>
      <c r="E34" s="77"/>
      <c r="F34" s="85"/>
      <c r="G34" s="86"/>
      <c r="H34" s="78"/>
    </row>
    <row r="35" spans="1:8" ht="13.2" x14ac:dyDescent="0.25">
      <c r="A35" s="69" t="s">
        <v>103</v>
      </c>
      <c r="B35" s="70">
        <v>117405007</v>
      </c>
      <c r="C35" s="70"/>
      <c r="D35" s="77">
        <f t="shared" si="1"/>
        <v>4.3400000000000001E-2</v>
      </c>
      <c r="E35" s="77"/>
      <c r="F35" s="85"/>
      <c r="G35" s="86"/>
      <c r="H35" s="78"/>
    </row>
    <row r="36" spans="1:8" ht="13.2" x14ac:dyDescent="0.25">
      <c r="A36" s="69" t="s">
        <v>153</v>
      </c>
      <c r="B36" s="70">
        <v>205439</v>
      </c>
      <c r="C36" s="70"/>
      <c r="D36" s="77">
        <f t="shared" si="1"/>
        <v>1E-4</v>
      </c>
      <c r="E36" s="77"/>
      <c r="F36" s="85"/>
      <c r="G36" s="86"/>
      <c r="H36" s="78"/>
    </row>
    <row r="37" spans="1:8" ht="13.2" x14ac:dyDescent="0.25">
      <c r="A37" s="69" t="s">
        <v>154</v>
      </c>
      <c r="B37" s="70">
        <v>6369479</v>
      </c>
      <c r="C37" s="70"/>
      <c r="D37" s="77">
        <f t="shared" si="1"/>
        <v>2.3999999999999998E-3</v>
      </c>
      <c r="E37" s="77"/>
      <c r="F37" s="85"/>
      <c r="G37" s="86"/>
      <c r="H37" s="78"/>
    </row>
    <row r="38" spans="1:8" ht="13.2" x14ac:dyDescent="0.25">
      <c r="A38" s="69" t="s">
        <v>163</v>
      </c>
      <c r="B38" s="70">
        <v>43456447</v>
      </c>
      <c r="C38" s="70"/>
      <c r="D38" s="77">
        <f t="shared" si="1"/>
        <v>1.61E-2</v>
      </c>
      <c r="E38" s="77"/>
      <c r="F38" s="85"/>
      <c r="G38" s="86"/>
      <c r="H38" s="78"/>
    </row>
    <row r="39" spans="1:8" ht="13.2" x14ac:dyDescent="0.25">
      <c r="A39" s="69" t="s">
        <v>157</v>
      </c>
      <c r="B39" s="70">
        <v>728886</v>
      </c>
      <c r="C39" s="70"/>
      <c r="D39" s="77">
        <f t="shared" si="1"/>
        <v>2.9999999999999997E-4</v>
      </c>
      <c r="E39" s="77"/>
      <c r="F39" s="85"/>
      <c r="G39" s="86"/>
      <c r="H39" s="78"/>
    </row>
    <row r="40" spans="1:8" ht="13.2" x14ac:dyDescent="0.25">
      <c r="A40" s="69" t="s">
        <v>104</v>
      </c>
      <c r="B40" s="70">
        <v>33845510</v>
      </c>
      <c r="C40" s="70"/>
      <c r="D40" s="77">
        <f>ROUND(B40/$B$42,4)-0.0001</f>
        <v>1.2400000000000001E-2</v>
      </c>
      <c r="E40" s="77"/>
      <c r="F40" s="85"/>
      <c r="G40" s="84"/>
      <c r="H40" s="78"/>
    </row>
    <row r="41" spans="1:8" ht="12" customHeight="1" thickBot="1" x14ac:dyDescent="0.3">
      <c r="A41" s="69"/>
      <c r="B41" s="70"/>
      <c r="C41" s="70"/>
      <c r="D41" s="77"/>
      <c r="E41" s="77"/>
      <c r="H41" s="78"/>
    </row>
    <row r="42" spans="1:8" ht="14.25" customHeight="1" thickTop="1" x14ac:dyDescent="0.25">
      <c r="A42" s="72" t="s">
        <v>216</v>
      </c>
      <c r="B42" s="71">
        <f>SUM(B24:B40)</f>
        <v>2702583721</v>
      </c>
      <c r="C42" s="83"/>
      <c r="D42" s="82">
        <f>SUM(D24:D40)</f>
        <v>1.0000999999999998</v>
      </c>
    </row>
    <row r="43" spans="1:8" ht="15" customHeight="1" x14ac:dyDescent="0.25">
      <c r="A43" s="69" t="s">
        <v>158</v>
      </c>
      <c r="B43" s="76">
        <v>38369451</v>
      </c>
      <c r="C43" s="70"/>
      <c r="D43" s="77"/>
      <c r="E43" s="81"/>
      <c r="F43" s="80"/>
      <c r="G43" s="79"/>
      <c r="H43" s="78"/>
    </row>
    <row r="44" spans="1:8" ht="5.25" customHeight="1" x14ac:dyDescent="0.25">
      <c r="A44" s="69"/>
      <c r="B44" s="76"/>
      <c r="C44" s="70"/>
      <c r="D44" s="77"/>
    </row>
    <row r="45" spans="1:8" ht="12.75" customHeight="1" x14ac:dyDescent="0.25">
      <c r="A45" s="72" t="s">
        <v>215</v>
      </c>
      <c r="B45" s="73">
        <f>SUM(B42:B44)</f>
        <v>2740953172</v>
      </c>
      <c r="C45" s="69"/>
      <c r="D45" s="69"/>
    </row>
    <row r="46" spans="1:8" ht="5.25" customHeight="1" x14ac:dyDescent="0.25">
      <c r="A46" s="69"/>
      <c r="B46" s="76"/>
      <c r="C46" s="70"/>
      <c r="D46" s="77"/>
    </row>
    <row r="47" spans="1:8" ht="13.5" customHeight="1" x14ac:dyDescent="0.25">
      <c r="A47" s="69" t="s">
        <v>214</v>
      </c>
      <c r="B47" s="76">
        <v>102103349</v>
      </c>
      <c r="C47" s="69"/>
      <c r="D47" s="69"/>
    </row>
    <row r="48" spans="1:8" ht="13.8" thickBot="1" x14ac:dyDescent="0.3">
      <c r="A48" s="69"/>
      <c r="B48" s="69"/>
      <c r="C48" s="69"/>
      <c r="D48" s="69"/>
    </row>
    <row r="49" spans="1:4" ht="13.5" customHeight="1" thickTop="1" x14ac:dyDescent="0.25">
      <c r="A49" s="75" t="s">
        <v>213</v>
      </c>
      <c r="B49" s="74"/>
      <c r="C49" s="74"/>
      <c r="D49" s="74"/>
    </row>
    <row r="50" spans="1:4" ht="13.2" x14ac:dyDescent="0.25">
      <c r="A50" s="69"/>
      <c r="B50" s="69"/>
      <c r="C50" s="69"/>
      <c r="D50" s="69"/>
    </row>
    <row r="51" spans="1:4" ht="11.1" customHeight="1" x14ac:dyDescent="0.25">
      <c r="A51" s="72" t="s">
        <v>212</v>
      </c>
      <c r="B51" s="69"/>
      <c r="C51" s="69"/>
      <c r="D51" s="69"/>
    </row>
    <row r="52" spans="1:4" ht="13.2" x14ac:dyDescent="0.25">
      <c r="A52" s="69" t="s">
        <v>211</v>
      </c>
      <c r="B52" s="70">
        <v>101822994.71000002</v>
      </c>
      <c r="C52" s="69"/>
      <c r="D52" s="69"/>
    </row>
    <row r="53" spans="1:4" ht="13.2" x14ac:dyDescent="0.25">
      <c r="A53" s="69" t="s">
        <v>210</v>
      </c>
      <c r="B53" s="70">
        <v>456807.79</v>
      </c>
      <c r="C53" s="69"/>
      <c r="D53" s="69"/>
    </row>
    <row r="54" spans="1:4" ht="13.2" x14ac:dyDescent="0.25">
      <c r="A54" s="69" t="s">
        <v>205</v>
      </c>
      <c r="B54" s="70">
        <v>37315141.869999997</v>
      </c>
      <c r="C54" s="69"/>
      <c r="D54" s="69"/>
    </row>
    <row r="55" spans="1:4" ht="13.8" thickBot="1" x14ac:dyDescent="0.3">
      <c r="A55" s="69" t="s">
        <v>209</v>
      </c>
      <c r="B55" s="70">
        <v>1397316</v>
      </c>
      <c r="C55" s="69"/>
      <c r="D55" s="69"/>
    </row>
    <row r="56" spans="1:4" ht="13.8" thickTop="1" x14ac:dyDescent="0.25">
      <c r="A56" s="72" t="s">
        <v>208</v>
      </c>
      <c r="B56" s="71">
        <f>SUM(B52:B55)</f>
        <v>140992260.37000003</v>
      </c>
      <c r="C56" s="69"/>
      <c r="D56" s="69"/>
    </row>
    <row r="57" spans="1:4" ht="15" customHeight="1" x14ac:dyDescent="0.25">
      <c r="A57" s="69"/>
      <c r="B57" s="69"/>
      <c r="C57" s="69"/>
      <c r="D57" s="69"/>
    </row>
    <row r="58" spans="1:4" ht="11.1" customHeight="1" x14ac:dyDescent="0.25">
      <c r="A58" s="72" t="s">
        <v>207</v>
      </c>
      <c r="B58" s="69"/>
      <c r="C58" s="69"/>
      <c r="D58" s="69"/>
    </row>
    <row r="59" spans="1:4" ht="13.2" x14ac:dyDescent="0.25">
      <c r="A59" s="69" t="s">
        <v>206</v>
      </c>
      <c r="B59" s="73">
        <v>107103400</v>
      </c>
      <c r="C59" s="69"/>
      <c r="D59" s="69"/>
    </row>
    <row r="60" spans="1:4" ht="13.8" thickBot="1" x14ac:dyDescent="0.3">
      <c r="A60" s="69" t="s">
        <v>205</v>
      </c>
      <c r="B60" s="70">
        <v>37315141.869999997</v>
      </c>
      <c r="C60" s="69"/>
      <c r="D60" s="69"/>
    </row>
    <row r="61" spans="1:4" ht="13.8" thickTop="1" x14ac:dyDescent="0.25">
      <c r="A61" s="72" t="s">
        <v>204</v>
      </c>
      <c r="B61" s="71">
        <f>SUM(B59:B60)</f>
        <v>144418541.87</v>
      </c>
      <c r="C61" s="69"/>
      <c r="D61" s="69"/>
    </row>
    <row r="62" spans="1:4" ht="15" customHeight="1" x14ac:dyDescent="0.25">
      <c r="A62" s="69"/>
      <c r="B62" s="69"/>
      <c r="C62" s="69"/>
      <c r="D62" s="69"/>
    </row>
    <row r="63" spans="1:4" ht="11.1" customHeight="1" x14ac:dyDescent="0.25">
      <c r="A63" s="69" t="s">
        <v>203</v>
      </c>
      <c r="B63" s="69"/>
      <c r="C63" s="69"/>
      <c r="D63" s="69"/>
    </row>
    <row r="64" spans="1:4" ht="13.2" x14ac:dyDescent="0.25">
      <c r="A64" s="69" t="s">
        <v>202</v>
      </c>
      <c r="B64" s="70"/>
      <c r="C64" s="69"/>
      <c r="D64" s="69"/>
    </row>
    <row r="65" spans="1:4" ht="13.2" x14ac:dyDescent="0.25">
      <c r="A65" s="69"/>
      <c r="B65" s="69"/>
      <c r="C65" s="69"/>
      <c r="D65" s="69"/>
    </row>
    <row r="66" spans="1:4" ht="12" customHeight="1" x14ac:dyDescent="0.25">
      <c r="A66" s="69" t="s">
        <v>239</v>
      </c>
      <c r="B66" s="69"/>
      <c r="C66" s="69"/>
      <c r="D66" s="69"/>
    </row>
    <row r="67" spans="1:4" ht="13.2" x14ac:dyDescent="0.25">
      <c r="A67" s="69" t="s">
        <v>240</v>
      </c>
      <c r="B67" s="69"/>
      <c r="C67" s="69"/>
      <c r="D67" s="69"/>
    </row>
    <row r="68" spans="1:4" ht="13.2" x14ac:dyDescent="0.25">
      <c r="A68" s="69"/>
      <c r="B68" s="69"/>
      <c r="C68" s="69"/>
      <c r="D68" s="69"/>
    </row>
  </sheetData>
  <sheetProtection sheet="1" objects="1" scenarios="1"/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 xml:space="preserve">&amp;RDecember 9, 2013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9"/>
  <sheetViews>
    <sheetView workbookViewId="0">
      <selection activeCell="B11" sqref="B11:B20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6" ht="13.2" x14ac:dyDescent="0.25">
      <c r="A1" s="213" t="s">
        <v>233</v>
      </c>
      <c r="B1" s="213"/>
      <c r="C1" s="213"/>
      <c r="D1" s="213"/>
    </row>
    <row r="2" spans="1:6" ht="13.2" x14ac:dyDescent="0.25">
      <c r="A2" s="213" t="s">
        <v>237</v>
      </c>
      <c r="B2" s="213"/>
      <c r="C2" s="213"/>
      <c r="D2" s="213"/>
    </row>
    <row r="3" spans="1:6" ht="13.2" x14ac:dyDescent="0.25">
      <c r="A3" s="213" t="s">
        <v>231</v>
      </c>
      <c r="B3" s="213"/>
      <c r="C3" s="213"/>
      <c r="D3" s="213"/>
    </row>
    <row r="4" spans="1:6" ht="13.2" x14ac:dyDescent="0.25">
      <c r="A4" s="213" t="s">
        <v>236</v>
      </c>
      <c r="B4" s="213"/>
      <c r="C4" s="213"/>
      <c r="D4" s="213"/>
    </row>
    <row r="5" spans="1:6" ht="9" customHeight="1" x14ac:dyDescent="0.25">
      <c r="A5" s="213"/>
      <c r="B5" s="213"/>
      <c r="C5" s="213"/>
      <c r="D5" s="213"/>
    </row>
    <row r="6" spans="1:6" ht="13.2" x14ac:dyDescent="0.25">
      <c r="A6" s="213" t="s">
        <v>229</v>
      </c>
      <c r="B6" s="213"/>
      <c r="C6" s="213"/>
      <c r="D6" s="213"/>
    </row>
    <row r="7" spans="1:6" ht="13.2" x14ac:dyDescent="0.25">
      <c r="A7" s="212" t="s">
        <v>192</v>
      </c>
      <c r="B7" s="212"/>
      <c r="C7" s="212"/>
      <c r="D7" s="212"/>
    </row>
    <row r="8" spans="1:6" ht="9.75" customHeight="1" x14ac:dyDescent="0.25">
      <c r="A8" s="94"/>
      <c r="B8" s="94"/>
      <c r="C8" s="94"/>
      <c r="D8" s="94"/>
    </row>
    <row r="9" spans="1:6" ht="13.2" x14ac:dyDescent="0.25">
      <c r="A9" s="72" t="s">
        <v>228</v>
      </c>
      <c r="B9" s="69"/>
      <c r="C9" s="69"/>
      <c r="D9" s="93" t="s">
        <v>227</v>
      </c>
    </row>
    <row r="10" spans="1:6" ht="8.1" customHeight="1" x14ac:dyDescent="0.25">
      <c r="A10" s="69"/>
      <c r="B10" s="69"/>
      <c r="C10" s="69"/>
      <c r="D10" s="69"/>
    </row>
    <row r="11" spans="1:6" ht="13.2" x14ac:dyDescent="0.25">
      <c r="A11" s="69" t="s">
        <v>136</v>
      </c>
      <c r="B11" s="73">
        <v>1571663639</v>
      </c>
      <c r="C11" s="87"/>
      <c r="D11" s="77">
        <v>0.55510000000000004</v>
      </c>
      <c r="E11" s="80"/>
      <c r="F11" s="89"/>
    </row>
    <row r="12" spans="1:6" ht="13.2" x14ac:dyDescent="0.25">
      <c r="A12" s="69" t="s">
        <v>226</v>
      </c>
      <c r="B12" s="70">
        <v>33967825</v>
      </c>
      <c r="C12" s="70"/>
      <c r="D12" s="77">
        <v>1.2E-2</v>
      </c>
      <c r="F12" s="90"/>
    </row>
    <row r="13" spans="1:6" ht="13.2" x14ac:dyDescent="0.25">
      <c r="A13" s="69" t="s">
        <v>225</v>
      </c>
      <c r="B13" s="70">
        <v>939657401</v>
      </c>
      <c r="C13" s="70"/>
      <c r="D13" s="77">
        <v>0.33250000000000002</v>
      </c>
      <c r="E13" s="80"/>
      <c r="F13" s="90"/>
    </row>
    <row r="14" spans="1:6" ht="13.2" x14ac:dyDescent="0.25">
      <c r="A14" s="69" t="s">
        <v>243</v>
      </c>
      <c r="B14" s="70">
        <v>500832</v>
      </c>
      <c r="C14" s="70"/>
      <c r="D14" s="77">
        <v>2.0000000000000001E-4</v>
      </c>
      <c r="F14" s="90"/>
    </row>
    <row r="15" spans="1:6" ht="13.2" x14ac:dyDescent="0.25">
      <c r="A15" s="69" t="s">
        <v>138</v>
      </c>
      <c r="B15" s="70">
        <v>89921344</v>
      </c>
      <c r="C15" s="70"/>
      <c r="D15" s="77">
        <v>3.1800000000000002E-2</v>
      </c>
      <c r="F15" s="90"/>
    </row>
    <row r="16" spans="1:6" ht="13.2" x14ac:dyDescent="0.25">
      <c r="A16" s="69" t="s">
        <v>242</v>
      </c>
      <c r="B16" s="70">
        <v>188426230</v>
      </c>
      <c r="C16" s="70"/>
      <c r="D16" s="77">
        <v>6.6699999999999995E-2</v>
      </c>
      <c r="F16" s="90"/>
    </row>
    <row r="17" spans="1:7" ht="13.8" thickBot="1" x14ac:dyDescent="0.3">
      <c r="A17" s="69" t="s">
        <v>224</v>
      </c>
      <c r="B17" s="70">
        <v>1883139</v>
      </c>
      <c r="C17" s="70"/>
      <c r="D17" s="77">
        <v>6.9999999999999999E-4</v>
      </c>
      <c r="F17" s="90"/>
    </row>
    <row r="18" spans="1:7" ht="15" customHeight="1" thickTop="1" x14ac:dyDescent="0.25">
      <c r="A18" s="72" t="s">
        <v>223</v>
      </c>
      <c r="B18" s="71">
        <f>SUM(B11:B17)</f>
        <v>2826020410</v>
      </c>
      <c r="C18" s="91">
        <f>SUM(C11:C17)</f>
        <v>0</v>
      </c>
      <c r="D18" s="82">
        <v>1</v>
      </c>
      <c r="F18" s="89"/>
    </row>
    <row r="19" spans="1:7" ht="7.5" customHeight="1" x14ac:dyDescent="0.25">
      <c r="A19" s="72"/>
      <c r="B19" s="70"/>
      <c r="C19" s="70"/>
      <c r="D19" s="77"/>
    </row>
    <row r="20" spans="1:7" ht="13.2" x14ac:dyDescent="0.25">
      <c r="A20" s="69" t="s">
        <v>222</v>
      </c>
      <c r="B20" s="70">
        <v>32758999</v>
      </c>
      <c r="C20" s="83"/>
      <c r="D20" s="95"/>
    </row>
    <row r="21" spans="1:7" ht="11.1" customHeight="1" x14ac:dyDescent="0.25">
      <c r="A21" s="69"/>
      <c r="B21" s="88"/>
      <c r="C21" s="88"/>
      <c r="D21" s="88"/>
    </row>
    <row r="22" spans="1:7" ht="11.1" customHeight="1" x14ac:dyDescent="0.25">
      <c r="A22" s="69"/>
      <c r="B22" s="69"/>
      <c r="C22" s="69"/>
      <c r="D22" s="69"/>
    </row>
    <row r="23" spans="1:7" ht="13.2" x14ac:dyDescent="0.25">
      <c r="A23" s="72" t="s">
        <v>221</v>
      </c>
      <c r="B23" s="69"/>
      <c r="C23" s="69"/>
      <c r="D23" s="69"/>
    </row>
    <row r="24" spans="1:7" ht="11.1" customHeight="1" x14ac:dyDescent="0.25">
      <c r="A24" s="69"/>
      <c r="B24" s="69"/>
      <c r="C24" s="69"/>
      <c r="D24" s="69"/>
    </row>
    <row r="25" spans="1:7" ht="13.2" x14ac:dyDescent="0.25">
      <c r="A25" s="69" t="s">
        <v>220</v>
      </c>
      <c r="B25" s="73">
        <v>1116049448</v>
      </c>
      <c r="C25" s="70"/>
      <c r="D25" s="77">
        <v>0.41499999999999998</v>
      </c>
      <c r="E25" s="77"/>
      <c r="F25" s="89"/>
      <c r="G25" s="86"/>
    </row>
    <row r="26" spans="1:7" ht="13.2" x14ac:dyDescent="0.25">
      <c r="A26" s="69" t="s">
        <v>219</v>
      </c>
      <c r="B26" s="70">
        <v>518250396</v>
      </c>
      <c r="C26" s="70"/>
      <c r="D26" s="77">
        <v>0.19270000000000001</v>
      </c>
      <c r="E26" s="77"/>
      <c r="F26" s="89"/>
      <c r="G26" s="86"/>
    </row>
    <row r="27" spans="1:7" ht="13.2" x14ac:dyDescent="0.25">
      <c r="A27" s="69" t="s">
        <v>218</v>
      </c>
      <c r="B27" s="70">
        <v>39914187</v>
      </c>
      <c r="C27" s="70"/>
      <c r="D27" s="77">
        <v>1.4800000000000001E-2</v>
      </c>
      <c r="E27" s="77"/>
      <c r="F27" s="89"/>
      <c r="G27" s="86"/>
    </row>
    <row r="28" spans="1:7" ht="13.2" x14ac:dyDescent="0.25">
      <c r="A28" s="69" t="s">
        <v>147</v>
      </c>
      <c r="B28" s="70">
        <v>44264565</v>
      </c>
      <c r="C28" s="70"/>
      <c r="D28" s="77">
        <v>1.6500000000000001E-2</v>
      </c>
      <c r="E28" s="77"/>
      <c r="F28" s="89"/>
      <c r="G28" s="86"/>
    </row>
    <row r="29" spans="1:7" ht="11.1" customHeight="1" x14ac:dyDescent="0.25">
      <c r="A29" s="69"/>
      <c r="B29" s="87"/>
      <c r="C29" s="70"/>
      <c r="D29" s="77"/>
      <c r="E29" s="77"/>
      <c r="F29" s="89"/>
      <c r="G29" s="86"/>
    </row>
    <row r="30" spans="1:7" ht="13.2" x14ac:dyDescent="0.25">
      <c r="A30" s="69" t="s">
        <v>148</v>
      </c>
      <c r="B30" s="70">
        <v>197396778</v>
      </c>
      <c r="C30" s="70"/>
      <c r="D30" s="77">
        <v>7.3400000000000007E-2</v>
      </c>
      <c r="E30" s="77"/>
      <c r="F30" s="89"/>
      <c r="G30" s="86"/>
    </row>
    <row r="31" spans="1:7" ht="13.2" x14ac:dyDescent="0.25">
      <c r="A31" s="69" t="s">
        <v>149</v>
      </c>
      <c r="B31" s="70">
        <v>87654962</v>
      </c>
      <c r="C31" s="70"/>
      <c r="D31" s="77">
        <v>3.2599999999999997E-2</v>
      </c>
      <c r="E31" s="77"/>
      <c r="F31" s="89"/>
      <c r="G31" s="86"/>
    </row>
    <row r="32" spans="1:7" ht="13.2" x14ac:dyDescent="0.25">
      <c r="A32" s="69" t="s">
        <v>217</v>
      </c>
      <c r="B32" s="70">
        <v>103822503</v>
      </c>
      <c r="C32" s="70"/>
      <c r="D32" s="77">
        <v>3.8600000000000002E-2</v>
      </c>
      <c r="E32" s="77"/>
      <c r="F32" s="89"/>
      <c r="G32" s="86"/>
    </row>
    <row r="33" spans="1:7" ht="13.2" x14ac:dyDescent="0.25">
      <c r="A33" s="69" t="s">
        <v>151</v>
      </c>
      <c r="B33" s="70">
        <v>145183401</v>
      </c>
      <c r="C33" s="70"/>
      <c r="D33" s="77">
        <v>5.3999999999999999E-2</v>
      </c>
      <c r="E33" s="77"/>
      <c r="F33" s="89"/>
      <c r="G33" s="86"/>
    </row>
    <row r="34" spans="1:7" ht="13.2" x14ac:dyDescent="0.25">
      <c r="A34" s="69" t="s">
        <v>99</v>
      </c>
      <c r="B34" s="70">
        <v>14737707</v>
      </c>
      <c r="C34" s="70"/>
      <c r="D34" s="77">
        <v>5.4999999999999997E-3</v>
      </c>
      <c r="E34" s="77"/>
      <c r="F34" s="89"/>
      <c r="G34" s="86"/>
    </row>
    <row r="35" spans="1:7" ht="13.2" x14ac:dyDescent="0.25">
      <c r="A35" s="69" t="s">
        <v>152</v>
      </c>
      <c r="B35" s="70">
        <v>221157807</v>
      </c>
      <c r="C35" s="70"/>
      <c r="D35" s="77">
        <v>8.2199999999999995E-2</v>
      </c>
      <c r="E35" s="77"/>
      <c r="F35" s="89"/>
      <c r="G35" s="86"/>
    </row>
    <row r="36" spans="1:7" ht="13.2" x14ac:dyDescent="0.25">
      <c r="A36" s="69" t="s">
        <v>103</v>
      </c>
      <c r="B36" s="70">
        <v>114109938</v>
      </c>
      <c r="C36" s="70"/>
      <c r="D36" s="77">
        <v>4.24E-2</v>
      </c>
      <c r="E36" s="77"/>
      <c r="F36" s="89"/>
      <c r="G36" s="86"/>
    </row>
    <row r="37" spans="1:7" ht="13.2" x14ac:dyDescent="0.25">
      <c r="A37" s="69" t="s">
        <v>153</v>
      </c>
      <c r="B37" s="70">
        <v>240022</v>
      </c>
      <c r="C37" s="70"/>
      <c r="D37" s="77">
        <v>1E-4</v>
      </c>
      <c r="E37" s="77"/>
      <c r="F37" s="89"/>
      <c r="G37" s="86"/>
    </row>
    <row r="38" spans="1:7" ht="13.2" x14ac:dyDescent="0.25">
      <c r="A38" s="69" t="s">
        <v>154</v>
      </c>
      <c r="B38" s="70">
        <v>7275595</v>
      </c>
      <c r="C38" s="70"/>
      <c r="D38" s="77">
        <v>2.7000000000000001E-3</v>
      </c>
      <c r="E38" s="77"/>
      <c r="F38" s="89"/>
      <c r="G38" s="86"/>
    </row>
    <row r="39" spans="1:7" ht="13.2" x14ac:dyDescent="0.25">
      <c r="A39" s="69" t="s">
        <v>163</v>
      </c>
      <c r="B39" s="70">
        <v>45468957</v>
      </c>
      <c r="C39" s="70"/>
      <c r="D39" s="77">
        <v>1.6899999999999998E-2</v>
      </c>
      <c r="E39" s="77"/>
      <c r="F39" s="89"/>
      <c r="G39" s="86"/>
    </row>
    <row r="40" spans="1:7" ht="13.2" x14ac:dyDescent="0.25">
      <c r="A40" s="69" t="s">
        <v>157</v>
      </c>
      <c r="B40" s="70">
        <v>1004549</v>
      </c>
      <c r="C40" s="70"/>
      <c r="D40" s="77">
        <v>4.0000000000000002E-4</v>
      </c>
      <c r="E40" s="77"/>
      <c r="F40" s="89"/>
      <c r="G40" s="86"/>
    </row>
    <row r="41" spans="1:7" ht="13.2" x14ac:dyDescent="0.25">
      <c r="A41" s="69" t="s">
        <v>104</v>
      </c>
      <c r="B41" s="70">
        <v>32921520</v>
      </c>
      <c r="C41" s="70"/>
      <c r="D41" s="77">
        <v>1.1200000000000002E-2</v>
      </c>
      <c r="E41" s="77"/>
      <c r="F41" s="89"/>
      <c r="G41" s="86"/>
    </row>
    <row r="42" spans="1:7" ht="6.75" customHeight="1" thickBot="1" x14ac:dyDescent="0.3">
      <c r="A42" s="69"/>
      <c r="B42" s="70"/>
      <c r="C42" s="70"/>
      <c r="D42" s="77"/>
    </row>
    <row r="43" spans="1:7" ht="15" customHeight="1" thickTop="1" x14ac:dyDescent="0.25">
      <c r="A43" s="72" t="s">
        <v>216</v>
      </c>
      <c r="B43" s="71">
        <f>SUM(B25:B41)</f>
        <v>2689452335</v>
      </c>
      <c r="C43" s="83"/>
      <c r="D43" s="82">
        <f>SUM(D25:D41)+0.001</f>
        <v>1</v>
      </c>
      <c r="E43" s="81"/>
      <c r="F43" s="80"/>
    </row>
    <row r="44" spans="1:7" ht="13.2" x14ac:dyDescent="0.25">
      <c r="A44" s="69" t="s">
        <v>158</v>
      </c>
      <c r="B44" s="76">
        <v>125685550</v>
      </c>
      <c r="C44" s="70"/>
      <c r="D44" s="77"/>
    </row>
    <row r="45" spans="1:7" ht="6.75" customHeight="1" x14ac:dyDescent="0.25">
      <c r="A45" s="69"/>
      <c r="B45" s="76"/>
      <c r="C45" s="70"/>
      <c r="D45" s="77"/>
    </row>
    <row r="46" spans="1:7" ht="13.2" x14ac:dyDescent="0.25">
      <c r="A46" s="72" t="s">
        <v>215</v>
      </c>
      <c r="B46" s="73">
        <f>SUM(B43:B45)</f>
        <v>2815137885</v>
      </c>
      <c r="C46" s="69"/>
      <c r="D46" s="69"/>
    </row>
    <row r="47" spans="1:7" ht="6.75" customHeight="1" x14ac:dyDescent="0.25">
      <c r="A47" s="72"/>
      <c r="B47" s="87"/>
      <c r="C47" s="69"/>
      <c r="D47" s="69"/>
    </row>
    <row r="48" spans="1:7" ht="13.2" x14ac:dyDescent="0.25">
      <c r="A48" s="69" t="s">
        <v>214</v>
      </c>
      <c r="B48" s="76">
        <v>105255247</v>
      </c>
      <c r="C48" s="69"/>
      <c r="D48" s="69"/>
    </row>
    <row r="49" spans="1:4" ht="11.1" customHeight="1" thickBot="1" x14ac:dyDescent="0.3">
      <c r="A49" s="69"/>
      <c r="B49" s="69"/>
      <c r="C49" s="69"/>
      <c r="D49" s="69"/>
    </row>
    <row r="50" spans="1:4" ht="13.8" thickTop="1" x14ac:dyDescent="0.25">
      <c r="A50" s="75" t="s">
        <v>213</v>
      </c>
      <c r="B50" s="74"/>
      <c r="C50" s="74"/>
      <c r="D50" s="74"/>
    </row>
    <row r="51" spans="1:4" ht="11.1" customHeight="1" x14ac:dyDescent="0.25">
      <c r="A51" s="69"/>
      <c r="B51" s="69"/>
      <c r="C51" s="69"/>
      <c r="D51" s="69"/>
    </row>
    <row r="52" spans="1:4" ht="13.2" x14ac:dyDescent="0.25">
      <c r="A52" s="72" t="s">
        <v>212</v>
      </c>
      <c r="B52" s="69"/>
      <c r="C52" s="69"/>
      <c r="D52" s="69"/>
    </row>
    <row r="53" spans="1:4" ht="13.2" x14ac:dyDescent="0.25">
      <c r="A53" s="69" t="s">
        <v>211</v>
      </c>
      <c r="B53" s="70">
        <v>102217717.28000002</v>
      </c>
      <c r="C53" s="69"/>
      <c r="D53" s="69"/>
    </row>
    <row r="54" spans="1:4" ht="13.2" x14ac:dyDescent="0.25">
      <c r="A54" s="69" t="s">
        <v>210</v>
      </c>
      <c r="B54" s="70">
        <v>302520.79000000004</v>
      </c>
      <c r="C54" s="69"/>
      <c r="D54" s="69"/>
    </row>
    <row r="55" spans="1:4" ht="13.2" x14ac:dyDescent="0.25">
      <c r="A55" s="69" t="s">
        <v>205</v>
      </c>
      <c r="B55" s="70">
        <v>39747837.82</v>
      </c>
      <c r="C55" s="69"/>
      <c r="D55" s="69"/>
    </row>
    <row r="56" spans="1:4" ht="13.8" thickBot="1" x14ac:dyDescent="0.3">
      <c r="A56" s="69" t="s">
        <v>209</v>
      </c>
      <c r="B56" s="70">
        <v>1228259</v>
      </c>
      <c r="C56" s="69"/>
      <c r="D56" s="69"/>
    </row>
    <row r="57" spans="1:4" ht="15" customHeight="1" thickTop="1" x14ac:dyDescent="0.25">
      <c r="A57" s="72" t="s">
        <v>208</v>
      </c>
      <c r="B57" s="71">
        <f>SUM(B53:B56)</f>
        <v>143496334.89000002</v>
      </c>
      <c r="C57" s="69"/>
      <c r="D57" s="69"/>
    </row>
    <row r="58" spans="1:4" ht="11.1" customHeight="1" x14ac:dyDescent="0.25">
      <c r="A58" s="69"/>
      <c r="B58" s="69"/>
      <c r="C58" s="69"/>
      <c r="D58" s="69"/>
    </row>
    <row r="59" spans="1:4" ht="13.2" x14ac:dyDescent="0.25">
      <c r="A59" s="72" t="s">
        <v>207</v>
      </c>
      <c r="B59" s="69"/>
      <c r="C59" s="69"/>
      <c r="D59" s="69"/>
    </row>
    <row r="60" spans="1:4" ht="13.2" x14ac:dyDescent="0.25">
      <c r="A60" s="69" t="s">
        <v>206</v>
      </c>
      <c r="B60" s="73">
        <v>106513425</v>
      </c>
      <c r="C60" s="69"/>
      <c r="D60" s="69"/>
    </row>
    <row r="61" spans="1:4" ht="13.8" thickBot="1" x14ac:dyDescent="0.3">
      <c r="A61" s="69" t="s">
        <v>205</v>
      </c>
      <c r="B61" s="70">
        <v>39747837.82</v>
      </c>
      <c r="C61" s="69"/>
      <c r="D61" s="69"/>
    </row>
    <row r="62" spans="1:4" ht="15" customHeight="1" thickTop="1" x14ac:dyDescent="0.25">
      <c r="A62" s="72" t="s">
        <v>204</v>
      </c>
      <c r="B62" s="71">
        <f>SUM(B60:B61)</f>
        <v>146261262.81999999</v>
      </c>
      <c r="C62" s="69"/>
      <c r="D62" s="69"/>
    </row>
    <row r="63" spans="1:4" ht="11.1" customHeight="1" x14ac:dyDescent="0.25">
      <c r="A63" s="69"/>
      <c r="B63" s="69"/>
      <c r="C63" s="69"/>
      <c r="D63" s="69"/>
    </row>
    <row r="64" spans="1:4" ht="13.2" x14ac:dyDescent="0.25">
      <c r="A64" s="69" t="s">
        <v>203</v>
      </c>
      <c r="B64" s="69"/>
      <c r="C64" s="69"/>
      <c r="D64" s="69"/>
    </row>
    <row r="65" spans="1:4" ht="13.2" x14ac:dyDescent="0.25">
      <c r="A65" s="69" t="s">
        <v>202</v>
      </c>
      <c r="B65" s="70"/>
      <c r="C65" s="69"/>
      <c r="D65" s="69"/>
    </row>
    <row r="66" spans="1:4" ht="9.75" customHeight="1" x14ac:dyDescent="0.25">
      <c r="A66" s="69"/>
      <c r="B66" s="69"/>
      <c r="C66" s="69"/>
      <c r="D66" s="69"/>
    </row>
    <row r="67" spans="1:4" ht="13.2" x14ac:dyDescent="0.25">
      <c r="A67" s="69" t="s">
        <v>239</v>
      </c>
      <c r="B67" s="69"/>
      <c r="C67" s="69"/>
      <c r="D67" s="69"/>
    </row>
    <row r="68" spans="1:4" ht="13.2" x14ac:dyDescent="0.25">
      <c r="A68" s="69" t="s">
        <v>241</v>
      </c>
      <c r="B68" s="69"/>
      <c r="C68" s="69"/>
      <c r="D68" s="69"/>
    </row>
    <row r="69" spans="1:4" ht="13.2" x14ac:dyDescent="0.25">
      <c r="A69" s="69"/>
      <c r="B69" s="69"/>
      <c r="C69" s="69"/>
      <c r="D69" s="69"/>
    </row>
  </sheetData>
  <sheetProtection sheet="1"/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 xml:space="preserve">&amp;RNovember 28, 2012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69"/>
  <sheetViews>
    <sheetView workbookViewId="0">
      <selection activeCell="B11" sqref="B11:B20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customWidth="1"/>
    <col min="6" max="6" width="11" style="68" customWidth="1"/>
    <col min="7" max="16384" width="9.109375" style="68"/>
  </cols>
  <sheetData>
    <row r="1" spans="1:6" ht="13.2" x14ac:dyDescent="0.25">
      <c r="A1" s="97" t="s">
        <v>233</v>
      </c>
      <c r="B1" s="97"/>
      <c r="C1" s="97"/>
      <c r="D1" s="97"/>
    </row>
    <row r="2" spans="1:6" ht="13.2" x14ac:dyDescent="0.25">
      <c r="A2" s="97" t="s">
        <v>237</v>
      </c>
      <c r="B2" s="97"/>
      <c r="C2" s="97"/>
      <c r="D2" s="97"/>
    </row>
    <row r="3" spans="1:6" ht="13.2" x14ac:dyDescent="0.25">
      <c r="A3" s="97" t="s">
        <v>231</v>
      </c>
      <c r="B3" s="97"/>
      <c r="C3" s="97"/>
      <c r="D3" s="97"/>
    </row>
    <row r="4" spans="1:6" ht="13.2" x14ac:dyDescent="0.25">
      <c r="A4" s="97" t="s">
        <v>236</v>
      </c>
      <c r="B4" s="97"/>
      <c r="C4" s="97"/>
      <c r="D4" s="97"/>
    </row>
    <row r="5" spans="1:6" ht="9" customHeight="1" x14ac:dyDescent="0.25">
      <c r="A5" s="97"/>
      <c r="B5" s="97"/>
      <c r="C5" s="97"/>
      <c r="D5" s="97"/>
    </row>
    <row r="6" spans="1:6" ht="13.2" x14ac:dyDescent="0.25">
      <c r="A6" s="97" t="s">
        <v>229</v>
      </c>
      <c r="B6" s="97"/>
      <c r="C6" s="97"/>
      <c r="D6" s="97"/>
    </row>
    <row r="7" spans="1:6" ht="13.2" x14ac:dyDescent="0.25">
      <c r="A7" s="96" t="s">
        <v>191</v>
      </c>
      <c r="B7" s="96"/>
      <c r="C7" s="96"/>
      <c r="D7" s="96"/>
    </row>
    <row r="8" spans="1:6" ht="9.75" customHeight="1" x14ac:dyDescent="0.25">
      <c r="A8" s="94"/>
      <c r="B8" s="94"/>
      <c r="C8" s="94"/>
      <c r="D8" s="94"/>
    </row>
    <row r="9" spans="1:6" ht="13.2" x14ac:dyDescent="0.25">
      <c r="A9" s="72" t="s">
        <v>228</v>
      </c>
      <c r="B9" s="69"/>
      <c r="C9" s="69"/>
      <c r="D9" s="93" t="s">
        <v>227</v>
      </c>
    </row>
    <row r="10" spans="1:6" ht="8.1" customHeight="1" x14ac:dyDescent="0.25">
      <c r="A10" s="69"/>
      <c r="B10" s="69"/>
      <c r="C10" s="69"/>
      <c r="D10" s="69"/>
    </row>
    <row r="11" spans="1:6" ht="13.2" x14ac:dyDescent="0.25">
      <c r="A11" s="69" t="s">
        <v>136</v>
      </c>
      <c r="B11" s="73">
        <v>1521270974</v>
      </c>
      <c r="C11" s="87"/>
      <c r="D11" s="77">
        <f>ROUND(B11/$B$18,4)-0.001</f>
        <v>0.54549999999999998</v>
      </c>
      <c r="E11" s="80"/>
      <c r="F11" s="89"/>
    </row>
    <row r="12" spans="1:6" ht="13.2" x14ac:dyDescent="0.25">
      <c r="A12" s="69" t="s">
        <v>226</v>
      </c>
      <c r="B12" s="70">
        <v>39534257</v>
      </c>
      <c r="C12" s="70"/>
      <c r="D12" s="77">
        <f t="shared" ref="D12:D17" si="0">ROUND(B12/$B$18,4)</f>
        <v>1.4200000000000001E-2</v>
      </c>
      <c r="F12" s="90"/>
    </row>
    <row r="13" spans="1:6" ht="13.2" x14ac:dyDescent="0.25">
      <c r="A13" s="69" t="s">
        <v>225</v>
      </c>
      <c r="B13" s="70">
        <v>920606020</v>
      </c>
      <c r="C13" s="70"/>
      <c r="D13" s="77">
        <f t="shared" si="0"/>
        <v>0.33069999999999999</v>
      </c>
      <c r="E13" s="80"/>
      <c r="F13" s="90"/>
    </row>
    <row r="14" spans="1:6" ht="13.2" x14ac:dyDescent="0.25">
      <c r="A14" s="69" t="s">
        <v>243</v>
      </c>
      <c r="B14" s="70">
        <v>20226445</v>
      </c>
      <c r="C14" s="70"/>
      <c r="D14" s="77">
        <f t="shared" si="0"/>
        <v>7.3000000000000001E-3</v>
      </c>
      <c r="F14" s="90"/>
    </row>
    <row r="15" spans="1:6" ht="13.2" x14ac:dyDescent="0.25">
      <c r="A15" s="69" t="s">
        <v>138</v>
      </c>
      <c r="B15" s="70">
        <v>96568770</v>
      </c>
      <c r="C15" s="70"/>
      <c r="D15" s="77">
        <f t="shared" si="0"/>
        <v>3.4700000000000002E-2</v>
      </c>
      <c r="F15" s="90"/>
    </row>
    <row r="16" spans="1:6" ht="13.2" x14ac:dyDescent="0.25">
      <c r="A16" s="69" t="s">
        <v>242</v>
      </c>
      <c r="B16" s="70">
        <v>185345696</v>
      </c>
      <c r="C16" s="70"/>
      <c r="D16" s="77">
        <f t="shared" si="0"/>
        <v>6.6600000000000006E-2</v>
      </c>
      <c r="F16" s="90"/>
    </row>
    <row r="17" spans="1:7" ht="13.8" thickBot="1" x14ac:dyDescent="0.3">
      <c r="A17" s="69" t="s">
        <v>224</v>
      </c>
      <c r="B17" s="70">
        <v>310892</v>
      </c>
      <c r="C17" s="70"/>
      <c r="D17" s="77">
        <f t="shared" si="0"/>
        <v>1E-4</v>
      </c>
      <c r="F17" s="90"/>
    </row>
    <row r="18" spans="1:7" ht="15" customHeight="1" thickTop="1" x14ac:dyDescent="0.25">
      <c r="A18" s="72" t="s">
        <v>223</v>
      </c>
      <c r="B18" s="71">
        <f>SUM(B11:B17)</f>
        <v>2783863054</v>
      </c>
      <c r="C18" s="91">
        <f>SUM(C11:C17)</f>
        <v>0</v>
      </c>
      <c r="D18" s="82">
        <f>SUM(D11:D17)+0.001</f>
        <v>1.0000999999999998</v>
      </c>
      <c r="F18" s="89"/>
    </row>
    <row r="19" spans="1:7" ht="7.5" customHeight="1" x14ac:dyDescent="0.25">
      <c r="A19" s="72"/>
      <c r="B19" s="70"/>
      <c r="C19" s="70"/>
      <c r="D19" s="77"/>
    </row>
    <row r="20" spans="1:7" ht="13.2" x14ac:dyDescent="0.25">
      <c r="A20" s="69" t="s">
        <v>222</v>
      </c>
      <c r="B20" s="70">
        <v>154694880</v>
      </c>
      <c r="C20" s="83"/>
      <c r="D20" s="95"/>
    </row>
    <row r="21" spans="1:7" ht="11.1" customHeight="1" x14ac:dyDescent="0.25">
      <c r="A21" s="69"/>
      <c r="B21" s="88"/>
      <c r="C21" s="88"/>
      <c r="D21" s="88"/>
    </row>
    <row r="22" spans="1:7" ht="11.1" customHeight="1" x14ac:dyDescent="0.25">
      <c r="A22" s="69"/>
      <c r="B22" s="69"/>
      <c r="C22" s="69"/>
      <c r="D22" s="69"/>
    </row>
    <row r="23" spans="1:7" ht="13.2" x14ac:dyDescent="0.25">
      <c r="A23" s="72" t="s">
        <v>221</v>
      </c>
      <c r="B23" s="69"/>
      <c r="C23" s="69"/>
      <c r="D23" s="69"/>
    </row>
    <row r="24" spans="1:7" ht="11.1" customHeight="1" x14ac:dyDescent="0.25">
      <c r="A24" s="69"/>
      <c r="B24" s="69"/>
      <c r="C24" s="69"/>
      <c r="D24" s="69"/>
    </row>
    <row r="25" spans="1:7" ht="13.2" x14ac:dyDescent="0.25">
      <c r="A25" s="69" t="s">
        <v>220</v>
      </c>
      <c r="B25" s="73">
        <v>1099242211</v>
      </c>
      <c r="C25" s="70"/>
      <c r="D25" s="77">
        <f>ROUND(B25/$B$43,4)</f>
        <v>0.4133</v>
      </c>
      <c r="E25" s="77"/>
      <c r="F25" s="89"/>
      <c r="G25" s="86"/>
    </row>
    <row r="26" spans="1:7" ht="13.2" x14ac:dyDescent="0.25">
      <c r="A26" s="69" t="s">
        <v>219</v>
      </c>
      <c r="B26" s="70">
        <v>521652296</v>
      </c>
      <c r="C26" s="70"/>
      <c r="D26" s="77">
        <f>ROUND(B26/$B$43,4)</f>
        <v>0.1961</v>
      </c>
      <c r="E26" s="77"/>
      <c r="F26" s="89"/>
      <c r="G26" s="86"/>
    </row>
    <row r="27" spans="1:7" ht="13.2" x14ac:dyDescent="0.25">
      <c r="A27" s="69" t="s">
        <v>218</v>
      </c>
      <c r="B27" s="70">
        <v>41533430</v>
      </c>
      <c r="C27" s="70"/>
      <c r="D27" s="77">
        <f>ROUND(B27/$B$43,4)</f>
        <v>1.5599999999999999E-2</v>
      </c>
      <c r="E27" s="77"/>
      <c r="F27" s="89"/>
      <c r="G27" s="86"/>
    </row>
    <row r="28" spans="1:7" ht="13.2" x14ac:dyDescent="0.25">
      <c r="A28" s="69" t="s">
        <v>147</v>
      </c>
      <c r="B28" s="70">
        <v>42465238</v>
      </c>
      <c r="C28" s="70"/>
      <c r="D28" s="77">
        <f>ROUND(B28/$B$43,4)</f>
        <v>1.6E-2</v>
      </c>
      <c r="E28" s="77"/>
      <c r="F28" s="89"/>
      <c r="G28" s="86"/>
    </row>
    <row r="29" spans="1:7" ht="11.1" customHeight="1" x14ac:dyDescent="0.25">
      <c r="A29" s="69"/>
      <c r="B29" s="87"/>
      <c r="C29" s="70"/>
      <c r="D29" s="77"/>
      <c r="E29" s="77"/>
      <c r="F29" s="89"/>
      <c r="G29" s="86"/>
    </row>
    <row r="30" spans="1:7" ht="13.2" x14ac:dyDescent="0.25">
      <c r="A30" s="69" t="s">
        <v>148</v>
      </c>
      <c r="B30" s="70">
        <v>190349371</v>
      </c>
      <c r="C30" s="70"/>
      <c r="D30" s="77">
        <f t="shared" ref="D30:D40" si="1">ROUND(B30/$B$43,4)</f>
        <v>7.1599999999999997E-2</v>
      </c>
      <c r="E30" s="77"/>
      <c r="F30" s="89"/>
      <c r="G30" s="86"/>
    </row>
    <row r="31" spans="1:7" ht="13.2" x14ac:dyDescent="0.25">
      <c r="A31" s="69" t="s">
        <v>149</v>
      </c>
      <c r="B31" s="70">
        <v>87561502</v>
      </c>
      <c r="C31" s="70"/>
      <c r="D31" s="77">
        <f t="shared" si="1"/>
        <v>3.2899999999999999E-2</v>
      </c>
      <c r="E31" s="77"/>
      <c r="F31" s="89"/>
      <c r="G31" s="86"/>
    </row>
    <row r="32" spans="1:7" ht="13.2" x14ac:dyDescent="0.25">
      <c r="A32" s="69" t="s">
        <v>217</v>
      </c>
      <c r="B32" s="70">
        <v>100422680</v>
      </c>
      <c r="C32" s="70"/>
      <c r="D32" s="77">
        <f t="shared" si="1"/>
        <v>3.78E-2</v>
      </c>
      <c r="E32" s="77"/>
      <c r="F32" s="89"/>
      <c r="G32" s="86"/>
    </row>
    <row r="33" spans="1:7" ht="13.2" x14ac:dyDescent="0.25">
      <c r="A33" s="69" t="s">
        <v>151</v>
      </c>
      <c r="B33" s="70">
        <v>140639608</v>
      </c>
      <c r="C33" s="70"/>
      <c r="D33" s="77">
        <f t="shared" si="1"/>
        <v>5.2900000000000003E-2</v>
      </c>
      <c r="E33" s="77"/>
      <c r="F33" s="89"/>
      <c r="G33" s="86"/>
    </row>
    <row r="34" spans="1:7" ht="13.2" x14ac:dyDescent="0.25">
      <c r="A34" s="69" t="s">
        <v>99</v>
      </c>
      <c r="B34" s="70">
        <v>15918467</v>
      </c>
      <c r="C34" s="70"/>
      <c r="D34" s="77">
        <f t="shared" si="1"/>
        <v>6.0000000000000001E-3</v>
      </c>
      <c r="E34" s="77"/>
      <c r="F34" s="89"/>
      <c r="G34" s="86"/>
    </row>
    <row r="35" spans="1:7" ht="13.2" x14ac:dyDescent="0.25">
      <c r="A35" s="69" t="s">
        <v>152</v>
      </c>
      <c r="B35" s="70">
        <v>220967729</v>
      </c>
      <c r="C35" s="70"/>
      <c r="D35" s="77">
        <f t="shared" si="1"/>
        <v>8.3099999999999993E-2</v>
      </c>
      <c r="E35" s="77"/>
      <c r="F35" s="89"/>
      <c r="G35" s="86"/>
    </row>
    <row r="36" spans="1:7" ht="13.2" x14ac:dyDescent="0.25">
      <c r="A36" s="69" t="s">
        <v>103</v>
      </c>
      <c r="B36" s="70">
        <v>113494761</v>
      </c>
      <c r="C36" s="70"/>
      <c r="D36" s="77">
        <f t="shared" si="1"/>
        <v>4.2700000000000002E-2</v>
      </c>
      <c r="E36" s="77"/>
      <c r="F36" s="89"/>
      <c r="G36" s="86"/>
    </row>
    <row r="37" spans="1:7" ht="13.2" x14ac:dyDescent="0.25">
      <c r="A37" s="69" t="s">
        <v>153</v>
      </c>
      <c r="B37" s="70">
        <v>437666</v>
      </c>
      <c r="C37" s="70"/>
      <c r="D37" s="77">
        <f t="shared" si="1"/>
        <v>2.0000000000000001E-4</v>
      </c>
      <c r="E37" s="77"/>
      <c r="F37" s="89"/>
      <c r="G37" s="86"/>
    </row>
    <row r="38" spans="1:7" ht="13.2" x14ac:dyDescent="0.25">
      <c r="A38" s="69" t="s">
        <v>154</v>
      </c>
      <c r="B38" s="70">
        <v>7705374</v>
      </c>
      <c r="C38" s="70"/>
      <c r="D38" s="77">
        <f t="shared" si="1"/>
        <v>2.8999999999999998E-3</v>
      </c>
      <c r="E38" s="77"/>
      <c r="F38" s="89"/>
      <c r="G38" s="86"/>
    </row>
    <row r="39" spans="1:7" ht="13.2" x14ac:dyDescent="0.25">
      <c r="A39" s="69" t="s">
        <v>163</v>
      </c>
      <c r="B39" s="70">
        <v>44798730</v>
      </c>
      <c r="C39" s="70"/>
      <c r="D39" s="77">
        <f t="shared" si="1"/>
        <v>1.6799999999999999E-2</v>
      </c>
      <c r="E39" s="77"/>
      <c r="F39" s="89"/>
      <c r="G39" s="86"/>
    </row>
    <row r="40" spans="1:7" ht="13.2" x14ac:dyDescent="0.25">
      <c r="A40" s="69" t="s">
        <v>157</v>
      </c>
      <c r="B40" s="70">
        <v>1120037</v>
      </c>
      <c r="C40" s="70"/>
      <c r="D40" s="77">
        <f t="shared" si="1"/>
        <v>4.0000000000000002E-4</v>
      </c>
      <c r="E40" s="77"/>
      <c r="F40" s="89"/>
      <c r="G40" s="86"/>
    </row>
    <row r="41" spans="1:7" ht="13.2" x14ac:dyDescent="0.25">
      <c r="A41" s="69" t="s">
        <v>104</v>
      </c>
      <c r="B41" s="70">
        <v>31179384</v>
      </c>
      <c r="C41" s="70"/>
      <c r="D41" s="77">
        <f>ROUND(B41/$B$43,4)-0.001</f>
        <v>1.0700000000000001E-2</v>
      </c>
      <c r="E41" s="77"/>
      <c r="F41" s="89"/>
      <c r="G41" s="86"/>
    </row>
    <row r="42" spans="1:7" ht="6.75" customHeight="1" thickBot="1" x14ac:dyDescent="0.3">
      <c r="A42" s="69"/>
      <c r="B42" s="70"/>
      <c r="C42" s="70"/>
      <c r="D42" s="77"/>
    </row>
    <row r="43" spans="1:7" ht="15" customHeight="1" thickTop="1" x14ac:dyDescent="0.25">
      <c r="A43" s="72" t="s">
        <v>216</v>
      </c>
      <c r="B43" s="71">
        <f>SUM(B25:B41)</f>
        <v>2659488484</v>
      </c>
      <c r="C43" s="83"/>
      <c r="D43" s="82">
        <f>SUM(D25:D41)+0.001</f>
        <v>0.99999999999999978</v>
      </c>
      <c r="E43" s="81"/>
      <c r="F43" s="80"/>
    </row>
    <row r="44" spans="1:7" ht="13.2" x14ac:dyDescent="0.25">
      <c r="A44" s="69" t="s">
        <v>158</v>
      </c>
      <c r="B44" s="76">
        <v>173756309</v>
      </c>
      <c r="C44" s="70"/>
      <c r="D44" s="77"/>
    </row>
    <row r="45" spans="1:7" ht="6.75" customHeight="1" x14ac:dyDescent="0.25">
      <c r="A45" s="69"/>
      <c r="B45" s="76"/>
      <c r="C45" s="70"/>
      <c r="D45" s="77"/>
    </row>
    <row r="46" spans="1:7" ht="13.2" x14ac:dyDescent="0.25">
      <c r="A46" s="72" t="s">
        <v>215</v>
      </c>
      <c r="B46" s="73">
        <f>SUM(B43:B45)</f>
        <v>2833244793</v>
      </c>
      <c r="C46" s="69"/>
      <c r="D46" s="69"/>
    </row>
    <row r="47" spans="1:7" ht="6.75" customHeight="1" x14ac:dyDescent="0.25">
      <c r="A47" s="72"/>
      <c r="B47" s="87"/>
      <c r="C47" s="69"/>
      <c r="D47" s="69"/>
    </row>
    <row r="48" spans="1:7" ht="13.2" x14ac:dyDescent="0.25">
      <c r="A48" s="69" t="s">
        <v>214</v>
      </c>
      <c r="B48" s="76">
        <v>101283387</v>
      </c>
      <c r="C48" s="69"/>
      <c r="D48" s="69"/>
    </row>
    <row r="49" spans="1:4" ht="11.1" customHeight="1" thickBot="1" x14ac:dyDescent="0.3">
      <c r="A49" s="69"/>
      <c r="B49" s="69"/>
      <c r="C49" s="69"/>
      <c r="D49" s="69"/>
    </row>
    <row r="50" spans="1:4" ht="13.8" thickTop="1" x14ac:dyDescent="0.25">
      <c r="A50" s="75" t="s">
        <v>213</v>
      </c>
      <c r="B50" s="74"/>
      <c r="C50" s="74"/>
      <c r="D50" s="74"/>
    </row>
    <row r="51" spans="1:4" ht="11.1" customHeight="1" x14ac:dyDescent="0.25">
      <c r="A51" s="69"/>
      <c r="B51" s="69"/>
      <c r="C51" s="69"/>
      <c r="D51" s="69"/>
    </row>
    <row r="52" spans="1:4" ht="13.2" x14ac:dyDescent="0.25">
      <c r="A52" s="72" t="s">
        <v>212</v>
      </c>
      <c r="B52" s="69"/>
      <c r="C52" s="69"/>
      <c r="D52" s="69"/>
    </row>
    <row r="53" spans="1:4" ht="13.2" x14ac:dyDescent="0.25">
      <c r="A53" s="69" t="s">
        <v>211</v>
      </c>
      <c r="B53" s="70">
        <v>103344098.03999998</v>
      </c>
      <c r="C53" s="69"/>
      <c r="D53" s="69"/>
    </row>
    <row r="54" spans="1:4" ht="13.2" x14ac:dyDescent="0.25">
      <c r="A54" s="69" t="s">
        <v>210</v>
      </c>
      <c r="B54" s="70">
        <v>326448.48000000004</v>
      </c>
      <c r="C54" s="69"/>
      <c r="D54" s="69"/>
    </row>
    <row r="55" spans="1:4" ht="13.2" x14ac:dyDescent="0.25">
      <c r="A55" s="69" t="s">
        <v>205</v>
      </c>
      <c r="B55" s="70">
        <v>40296235.439999998</v>
      </c>
      <c r="C55" s="69"/>
      <c r="D55" s="69"/>
    </row>
    <row r="56" spans="1:4" ht="13.8" thickBot="1" x14ac:dyDescent="0.3">
      <c r="A56" s="69" t="s">
        <v>209</v>
      </c>
      <c r="B56" s="70">
        <v>1307935</v>
      </c>
      <c r="C56" s="69"/>
      <c r="D56" s="69"/>
    </row>
    <row r="57" spans="1:4" ht="15" customHeight="1" thickTop="1" x14ac:dyDescent="0.25">
      <c r="A57" s="72" t="s">
        <v>208</v>
      </c>
      <c r="B57" s="71">
        <f>SUM(B53:B56)-1</f>
        <v>145274715.95999998</v>
      </c>
      <c r="C57" s="69"/>
      <c r="D57" s="69"/>
    </row>
    <row r="58" spans="1:4" ht="11.1" customHeight="1" x14ac:dyDescent="0.25">
      <c r="A58" s="69"/>
      <c r="B58" s="69"/>
      <c r="C58" s="69"/>
      <c r="D58" s="69"/>
    </row>
    <row r="59" spans="1:4" ht="13.2" x14ac:dyDescent="0.25">
      <c r="A59" s="72" t="s">
        <v>207</v>
      </c>
      <c r="B59" s="69"/>
      <c r="C59" s="69"/>
      <c r="D59" s="69"/>
    </row>
    <row r="60" spans="1:4" ht="13.2" x14ac:dyDescent="0.25">
      <c r="A60" s="69" t="s">
        <v>206</v>
      </c>
      <c r="B60" s="73">
        <v>104631241</v>
      </c>
      <c r="C60" s="69"/>
      <c r="D60" s="69"/>
    </row>
    <row r="61" spans="1:4" ht="13.8" thickBot="1" x14ac:dyDescent="0.3">
      <c r="A61" s="69" t="s">
        <v>205</v>
      </c>
      <c r="B61" s="70">
        <v>40296235.439999998</v>
      </c>
      <c r="C61" s="69"/>
      <c r="D61" s="69"/>
    </row>
    <row r="62" spans="1:4" ht="15" customHeight="1" thickTop="1" x14ac:dyDescent="0.25">
      <c r="A62" s="72" t="s">
        <v>204</v>
      </c>
      <c r="B62" s="71">
        <f>SUM(B60:B61)</f>
        <v>144927476.44</v>
      </c>
      <c r="C62" s="69"/>
      <c r="D62" s="69"/>
    </row>
    <row r="63" spans="1:4" ht="11.1" customHeight="1" x14ac:dyDescent="0.25">
      <c r="A63" s="69"/>
      <c r="B63" s="69"/>
      <c r="C63" s="69"/>
      <c r="D63" s="69"/>
    </row>
    <row r="64" spans="1:4" ht="13.2" x14ac:dyDescent="0.25">
      <c r="A64" s="69" t="s">
        <v>203</v>
      </c>
      <c r="B64" s="69"/>
      <c r="C64" s="69"/>
      <c r="D64" s="69"/>
    </row>
    <row r="65" spans="1:4" ht="13.2" x14ac:dyDescent="0.25">
      <c r="A65" s="69" t="s">
        <v>202</v>
      </c>
      <c r="B65" s="70"/>
      <c r="C65" s="69"/>
      <c r="D65" s="69"/>
    </row>
    <row r="66" spans="1:4" ht="9.75" customHeight="1" x14ac:dyDescent="0.25">
      <c r="A66" s="69"/>
      <c r="B66" s="69"/>
      <c r="C66" s="69"/>
      <c r="D66" s="69"/>
    </row>
    <row r="67" spans="1:4" ht="13.2" x14ac:dyDescent="0.25">
      <c r="A67" s="69" t="s">
        <v>239</v>
      </c>
      <c r="B67" s="69"/>
      <c r="C67" s="69"/>
      <c r="D67" s="69"/>
    </row>
    <row r="68" spans="1:4" ht="13.2" x14ac:dyDescent="0.25">
      <c r="A68" s="69" t="s">
        <v>244</v>
      </c>
      <c r="B68" s="69"/>
      <c r="C68" s="69"/>
      <c r="D68" s="69"/>
    </row>
    <row r="69" spans="1:4" ht="13.2" x14ac:dyDescent="0.25">
      <c r="A69" s="69"/>
      <c r="B69" s="69"/>
      <c r="C69" s="69"/>
      <c r="D69" s="69"/>
    </row>
  </sheetData>
  <dataConsolidate/>
  <pageMargins left="0.9" right="0.6" top="0.5" bottom="0.25" header="0.3" footer="0.5"/>
  <pageSetup scale="98" orientation="portrait" r:id="rId1"/>
  <headerFooter alignWithMargins="0">
    <oddHeader xml:space="preserve">&amp;RJanuary 3, 2012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9"/>
  <sheetViews>
    <sheetView workbookViewId="0">
      <selection activeCell="A11" sqref="A11:A20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6" ht="13.2" x14ac:dyDescent="0.25">
      <c r="A1" s="213" t="s">
        <v>233</v>
      </c>
      <c r="B1" s="213"/>
      <c r="C1" s="213"/>
      <c r="D1" s="213"/>
    </row>
    <row r="2" spans="1:6" ht="13.2" x14ac:dyDescent="0.25">
      <c r="A2" s="213" t="s">
        <v>237</v>
      </c>
      <c r="B2" s="213"/>
      <c r="C2" s="213"/>
      <c r="D2" s="213"/>
    </row>
    <row r="3" spans="1:6" ht="13.2" x14ac:dyDescent="0.25">
      <c r="A3" s="213" t="s">
        <v>231</v>
      </c>
      <c r="B3" s="213"/>
      <c r="C3" s="213"/>
      <c r="D3" s="213"/>
    </row>
    <row r="4" spans="1:6" ht="13.2" x14ac:dyDescent="0.25">
      <c r="A4" s="213" t="s">
        <v>236</v>
      </c>
      <c r="B4" s="213"/>
      <c r="C4" s="213"/>
      <c r="D4" s="213"/>
    </row>
    <row r="5" spans="1:6" ht="9" customHeight="1" x14ac:dyDescent="0.25">
      <c r="A5" s="213"/>
      <c r="B5" s="213"/>
      <c r="C5" s="213"/>
      <c r="D5" s="213"/>
    </row>
    <row r="6" spans="1:6" ht="13.2" x14ac:dyDescent="0.25">
      <c r="A6" s="213" t="s">
        <v>229</v>
      </c>
      <c r="B6" s="213"/>
      <c r="C6" s="213"/>
      <c r="D6" s="213"/>
    </row>
    <row r="7" spans="1:6" ht="13.2" x14ac:dyDescent="0.25">
      <c r="A7" s="212" t="s">
        <v>190</v>
      </c>
      <c r="B7" s="212"/>
      <c r="C7" s="212"/>
      <c r="D7" s="212"/>
    </row>
    <row r="8" spans="1:6" ht="9.75" customHeight="1" x14ac:dyDescent="0.25">
      <c r="A8" s="94"/>
      <c r="B8" s="94"/>
      <c r="C8" s="94"/>
      <c r="D8" s="94"/>
    </row>
    <row r="9" spans="1:6" ht="13.2" x14ac:dyDescent="0.25">
      <c r="A9" s="72" t="s">
        <v>228</v>
      </c>
      <c r="B9" s="69"/>
      <c r="C9" s="69"/>
      <c r="D9" s="93" t="s">
        <v>227</v>
      </c>
    </row>
    <row r="10" spans="1:6" ht="8.1" customHeight="1" x14ac:dyDescent="0.25">
      <c r="A10" s="69"/>
      <c r="B10" s="69"/>
      <c r="C10" s="69"/>
      <c r="D10" s="69"/>
    </row>
    <row r="11" spans="1:6" ht="13.2" x14ac:dyDescent="0.25">
      <c r="A11" s="69" t="s">
        <v>136</v>
      </c>
      <c r="B11" s="73">
        <v>1482598796</v>
      </c>
      <c r="C11" s="87"/>
      <c r="D11" s="77">
        <v>0.54100000000000004</v>
      </c>
      <c r="F11" s="90"/>
    </row>
    <row r="12" spans="1:6" ht="13.2" x14ac:dyDescent="0.25">
      <c r="A12" s="69" t="s">
        <v>226</v>
      </c>
      <c r="B12" s="70">
        <v>31505531</v>
      </c>
      <c r="C12" s="70"/>
      <c r="D12" s="77">
        <v>1.2E-2</v>
      </c>
      <c r="F12" s="90"/>
    </row>
    <row r="13" spans="1:6" ht="13.2" x14ac:dyDescent="0.25">
      <c r="A13" s="69" t="s">
        <v>225</v>
      </c>
      <c r="B13" s="70">
        <v>779785761</v>
      </c>
      <c r="C13" s="70"/>
      <c r="D13" s="77">
        <v>0.28499999999999998</v>
      </c>
      <c r="F13" s="90"/>
    </row>
    <row r="14" spans="1:6" ht="13.2" x14ac:dyDescent="0.25">
      <c r="A14" s="69" t="s">
        <v>245</v>
      </c>
      <c r="B14" s="70">
        <v>160065567</v>
      </c>
      <c r="C14" s="70"/>
      <c r="D14" s="77">
        <v>5.8000000000000003E-2</v>
      </c>
      <c r="F14" s="90"/>
    </row>
    <row r="15" spans="1:6" ht="13.2" x14ac:dyDescent="0.25">
      <c r="A15" s="69" t="s">
        <v>138</v>
      </c>
      <c r="B15" s="70">
        <v>93751329</v>
      </c>
      <c r="C15" s="70"/>
      <c r="D15" s="77">
        <v>3.4000000000000002E-2</v>
      </c>
      <c r="F15" s="90"/>
    </row>
    <row r="16" spans="1:6" ht="13.2" x14ac:dyDescent="0.25">
      <c r="A16" s="69" t="s">
        <v>242</v>
      </c>
      <c r="B16" s="70">
        <v>191213006</v>
      </c>
      <c r="C16" s="70"/>
      <c r="D16" s="77">
        <v>7.0000000000000007E-2</v>
      </c>
      <c r="F16" s="90"/>
    </row>
    <row r="17" spans="1:6" ht="13.8" thickBot="1" x14ac:dyDescent="0.3">
      <c r="A17" s="69" t="s">
        <v>224</v>
      </c>
      <c r="B17" s="70">
        <v>2089084</v>
      </c>
      <c r="C17" s="70"/>
      <c r="D17" s="77">
        <v>0</v>
      </c>
      <c r="F17" s="90"/>
    </row>
    <row r="18" spans="1:6" ht="15" customHeight="1" thickTop="1" x14ac:dyDescent="0.25">
      <c r="A18" s="72" t="s">
        <v>223</v>
      </c>
      <c r="B18" s="71">
        <f>SUM(B11:B17)</f>
        <v>2741009074</v>
      </c>
      <c r="C18" s="91">
        <f>SUM(C11:C17)</f>
        <v>0</v>
      </c>
      <c r="D18" s="82">
        <f>SUM(D11:D17)</f>
        <v>1.0000000000000002</v>
      </c>
    </row>
    <row r="19" spans="1:6" ht="7.5" customHeight="1" x14ac:dyDescent="0.25">
      <c r="A19" s="72"/>
      <c r="B19" s="70"/>
      <c r="C19" s="70"/>
      <c r="D19" s="77"/>
    </row>
    <row r="20" spans="1:6" ht="13.2" x14ac:dyDescent="0.25">
      <c r="A20" s="69" t="s">
        <v>222</v>
      </c>
      <c r="B20" s="70">
        <v>89770360</v>
      </c>
      <c r="C20" s="83"/>
      <c r="D20" s="95"/>
    </row>
    <row r="21" spans="1:6" ht="11.1" customHeight="1" x14ac:dyDescent="0.25">
      <c r="A21" s="69"/>
      <c r="B21" s="88"/>
      <c r="C21" s="88"/>
      <c r="D21" s="88"/>
    </row>
    <row r="22" spans="1:6" ht="11.1" customHeight="1" x14ac:dyDescent="0.25">
      <c r="A22" s="69"/>
      <c r="B22" s="69"/>
      <c r="C22" s="69"/>
      <c r="D22" s="69"/>
    </row>
    <row r="23" spans="1:6" ht="13.2" x14ac:dyDescent="0.25">
      <c r="A23" s="72" t="s">
        <v>221</v>
      </c>
      <c r="B23" s="69"/>
      <c r="C23" s="69"/>
      <c r="D23" s="69"/>
    </row>
    <row r="24" spans="1:6" ht="11.1" customHeight="1" x14ac:dyDescent="0.25">
      <c r="A24" s="69"/>
      <c r="B24" s="69"/>
      <c r="C24" s="69"/>
      <c r="D24" s="69"/>
    </row>
    <row r="25" spans="1:6" ht="13.2" x14ac:dyDescent="0.25">
      <c r="A25" s="69" t="s">
        <v>220</v>
      </c>
      <c r="B25" s="73">
        <v>1070740470</v>
      </c>
      <c r="C25" s="70"/>
      <c r="D25" s="77">
        <v>0.41286</v>
      </c>
      <c r="E25" s="77"/>
      <c r="F25" s="98"/>
    </row>
    <row r="26" spans="1:6" ht="13.2" x14ac:dyDescent="0.25">
      <c r="A26" s="69" t="s">
        <v>219</v>
      </c>
      <c r="B26" s="70">
        <v>508089836</v>
      </c>
      <c r="C26" s="70"/>
      <c r="D26" s="77">
        <v>0.19581000000000001</v>
      </c>
      <c r="E26" s="77"/>
      <c r="F26" s="98"/>
    </row>
    <row r="27" spans="1:6" ht="13.2" x14ac:dyDescent="0.25">
      <c r="A27" s="69" t="s">
        <v>218</v>
      </c>
      <c r="B27" s="70">
        <v>40552146</v>
      </c>
      <c r="C27" s="70"/>
      <c r="D27" s="77">
        <v>1.5640000000000001E-2</v>
      </c>
      <c r="E27" s="77"/>
      <c r="F27" s="98"/>
    </row>
    <row r="28" spans="1:6" ht="13.2" x14ac:dyDescent="0.25">
      <c r="A28" s="69" t="s">
        <v>147</v>
      </c>
      <c r="B28" s="70">
        <v>41030433</v>
      </c>
      <c r="C28" s="70"/>
      <c r="D28" s="77">
        <v>1.5820000000000001E-2</v>
      </c>
      <c r="E28" s="77"/>
      <c r="F28" s="98"/>
    </row>
    <row r="29" spans="1:6" ht="11.1" customHeight="1" x14ac:dyDescent="0.25">
      <c r="A29" s="69"/>
      <c r="B29" s="87"/>
      <c r="C29" s="70"/>
      <c r="D29" s="77"/>
      <c r="E29" s="77"/>
      <c r="F29" s="98"/>
    </row>
    <row r="30" spans="1:6" ht="13.2" x14ac:dyDescent="0.25">
      <c r="A30" s="69" t="s">
        <v>148</v>
      </c>
      <c r="B30" s="70">
        <v>184023587</v>
      </c>
      <c r="C30" s="70"/>
      <c r="D30" s="77">
        <v>7.0959999999999995E-2</v>
      </c>
      <c r="E30" s="77"/>
      <c r="F30" s="98"/>
    </row>
    <row r="31" spans="1:6" ht="13.2" x14ac:dyDescent="0.25">
      <c r="A31" s="69" t="s">
        <v>149</v>
      </c>
      <c r="B31" s="70">
        <v>86735835</v>
      </c>
      <c r="C31" s="70"/>
      <c r="D31" s="77">
        <v>3.3439999999999998E-2</v>
      </c>
      <c r="E31" s="77"/>
      <c r="F31" s="98"/>
    </row>
    <row r="32" spans="1:6" ht="13.2" x14ac:dyDescent="0.25">
      <c r="A32" s="69" t="s">
        <v>217</v>
      </c>
      <c r="B32" s="70">
        <v>101578756</v>
      </c>
      <c r="C32" s="70"/>
      <c r="D32" s="77">
        <v>3.9170000000000003E-2</v>
      </c>
      <c r="E32" s="77"/>
      <c r="F32" s="98"/>
    </row>
    <row r="33" spans="1:6" ht="13.2" x14ac:dyDescent="0.25">
      <c r="A33" s="69" t="s">
        <v>151</v>
      </c>
      <c r="B33" s="70">
        <v>137195717</v>
      </c>
      <c r="C33" s="70"/>
      <c r="D33" s="77">
        <v>5.2900000000000003E-2</v>
      </c>
      <c r="E33" s="77"/>
      <c r="F33" s="98"/>
    </row>
    <row r="34" spans="1:6" ht="13.2" x14ac:dyDescent="0.25">
      <c r="A34" s="69" t="s">
        <v>99</v>
      </c>
      <c r="B34" s="70">
        <v>14305727</v>
      </c>
      <c r="C34" s="70"/>
      <c r="D34" s="77">
        <v>5.5199999999999997E-3</v>
      </c>
      <c r="E34" s="77"/>
      <c r="F34" s="98"/>
    </row>
    <row r="35" spans="1:6" ht="13.2" x14ac:dyDescent="0.25">
      <c r="A35" s="69" t="s">
        <v>152</v>
      </c>
      <c r="B35" s="70">
        <v>218636212</v>
      </c>
      <c r="C35" s="70"/>
      <c r="D35" s="77">
        <v>8.43E-2</v>
      </c>
      <c r="E35" s="77"/>
      <c r="F35" s="98"/>
    </row>
    <row r="36" spans="1:6" ht="13.2" x14ac:dyDescent="0.25">
      <c r="A36" s="69" t="s">
        <v>103</v>
      </c>
      <c r="B36" s="70">
        <v>110002544</v>
      </c>
      <c r="C36" s="70"/>
      <c r="D36" s="77">
        <v>4.2410000000000003E-2</v>
      </c>
      <c r="E36" s="77"/>
      <c r="F36" s="98"/>
    </row>
    <row r="37" spans="1:6" ht="13.2" x14ac:dyDescent="0.25">
      <c r="A37" s="69" t="s">
        <v>153</v>
      </c>
      <c r="B37" s="70">
        <v>299436</v>
      </c>
      <c r="C37" s="70"/>
      <c r="D37" s="77">
        <v>1.2E-4</v>
      </c>
      <c r="E37" s="77"/>
      <c r="F37" s="98"/>
    </row>
    <row r="38" spans="1:6" ht="13.2" x14ac:dyDescent="0.25">
      <c r="A38" s="69" t="s">
        <v>154</v>
      </c>
      <c r="B38" s="70">
        <v>7637367</v>
      </c>
      <c r="C38" s="70"/>
      <c r="D38" s="77">
        <v>2.9399999999999999E-3</v>
      </c>
      <c r="E38" s="77"/>
      <c r="F38" s="98"/>
    </row>
    <row r="39" spans="1:6" ht="13.2" x14ac:dyDescent="0.25">
      <c r="A39" s="69" t="s">
        <v>163</v>
      </c>
      <c r="B39" s="70">
        <v>44621384</v>
      </c>
      <c r="C39" s="70"/>
      <c r="D39" s="77">
        <v>1.721E-2</v>
      </c>
      <c r="E39" s="77"/>
      <c r="F39" s="98"/>
    </row>
    <row r="40" spans="1:6" ht="13.2" x14ac:dyDescent="0.25">
      <c r="A40" s="69" t="s">
        <v>157</v>
      </c>
      <c r="B40" s="70">
        <v>435341</v>
      </c>
      <c r="C40" s="70"/>
      <c r="D40" s="77">
        <v>1.7000000000000001E-4</v>
      </c>
      <c r="E40" s="77"/>
      <c r="F40" s="98"/>
    </row>
    <row r="41" spans="1:6" ht="13.2" x14ac:dyDescent="0.25">
      <c r="A41" s="69" t="s">
        <v>104</v>
      </c>
      <c r="B41" s="70">
        <v>27608366</v>
      </c>
      <c r="C41" s="70"/>
      <c r="D41" s="77">
        <v>1.065E-2</v>
      </c>
      <c r="E41" s="77"/>
      <c r="F41" s="98"/>
    </row>
    <row r="42" spans="1:6" ht="6.75" customHeight="1" thickBot="1" x14ac:dyDescent="0.3">
      <c r="A42" s="69"/>
      <c r="B42" s="70"/>
      <c r="C42" s="70"/>
      <c r="D42" s="77"/>
    </row>
    <row r="43" spans="1:6" ht="15" customHeight="1" thickTop="1" x14ac:dyDescent="0.25">
      <c r="A43" s="72" t="s">
        <v>216</v>
      </c>
      <c r="B43" s="71">
        <f>SUM(B25:B41)</f>
        <v>2593493157</v>
      </c>
      <c r="C43" s="83"/>
      <c r="D43" s="82">
        <f>SUM(D25:D41)</f>
        <v>0.99992000000000036</v>
      </c>
      <c r="E43" s="81"/>
    </row>
    <row r="44" spans="1:6" ht="13.2" x14ac:dyDescent="0.25">
      <c r="A44" s="69" t="s">
        <v>158</v>
      </c>
      <c r="B44" s="76">
        <v>97171268</v>
      </c>
      <c r="C44" s="70"/>
      <c r="D44" s="77"/>
    </row>
    <row r="45" spans="1:6" ht="6.75" customHeight="1" x14ac:dyDescent="0.25">
      <c r="A45" s="69"/>
      <c r="B45" s="76"/>
      <c r="C45" s="70"/>
      <c r="D45" s="77"/>
    </row>
    <row r="46" spans="1:6" ht="13.2" x14ac:dyDescent="0.25">
      <c r="A46" s="72" t="s">
        <v>215</v>
      </c>
      <c r="B46" s="73">
        <f>SUM(B43:B45)</f>
        <v>2690664425</v>
      </c>
      <c r="C46" s="69"/>
      <c r="D46" s="69"/>
    </row>
    <row r="47" spans="1:6" ht="6.75" customHeight="1" x14ac:dyDescent="0.25">
      <c r="A47" s="72"/>
      <c r="B47" s="87"/>
      <c r="C47" s="69"/>
      <c r="D47" s="69"/>
    </row>
    <row r="48" spans="1:6" ht="13.2" x14ac:dyDescent="0.25">
      <c r="A48" s="69" t="s">
        <v>214</v>
      </c>
      <c r="B48" s="76">
        <v>103872686</v>
      </c>
      <c r="C48" s="69"/>
      <c r="D48" s="69"/>
    </row>
    <row r="49" spans="1:4" ht="11.1" customHeight="1" thickBot="1" x14ac:dyDescent="0.3">
      <c r="A49" s="69"/>
      <c r="B49" s="69"/>
      <c r="C49" s="69"/>
      <c r="D49" s="69"/>
    </row>
    <row r="50" spans="1:4" ht="13.8" thickTop="1" x14ac:dyDescent="0.25">
      <c r="A50" s="75" t="s">
        <v>213</v>
      </c>
      <c r="B50" s="74"/>
      <c r="C50" s="74"/>
      <c r="D50" s="74"/>
    </row>
    <row r="51" spans="1:4" ht="11.1" customHeight="1" x14ac:dyDescent="0.25">
      <c r="A51" s="69"/>
      <c r="B51" s="69"/>
      <c r="C51" s="69"/>
      <c r="D51" s="69"/>
    </row>
    <row r="52" spans="1:4" ht="13.2" x14ac:dyDescent="0.25">
      <c r="A52" s="72" t="s">
        <v>212</v>
      </c>
      <c r="B52" s="69"/>
      <c r="C52" s="69"/>
      <c r="D52" s="69"/>
    </row>
    <row r="53" spans="1:4" ht="13.2" x14ac:dyDescent="0.25">
      <c r="A53" s="69" t="s">
        <v>211</v>
      </c>
      <c r="B53" s="70">
        <v>103971898.71999997</v>
      </c>
      <c r="C53" s="69"/>
      <c r="D53" s="69"/>
    </row>
    <row r="54" spans="1:4" ht="13.2" x14ac:dyDescent="0.25">
      <c r="A54" s="69" t="s">
        <v>210</v>
      </c>
      <c r="B54" s="70">
        <v>172248.7</v>
      </c>
      <c r="C54" s="69"/>
      <c r="D54" s="69"/>
    </row>
    <row r="55" spans="1:4" ht="13.2" x14ac:dyDescent="0.25">
      <c r="A55" s="69" t="s">
        <v>205</v>
      </c>
      <c r="B55" s="70">
        <v>41970388.829999998</v>
      </c>
      <c r="C55" s="69"/>
      <c r="D55" s="69"/>
    </row>
    <row r="56" spans="1:4" ht="13.8" thickBot="1" x14ac:dyDescent="0.3">
      <c r="A56" s="69" t="s">
        <v>209</v>
      </c>
      <c r="B56" s="70">
        <v>1039361</v>
      </c>
      <c r="C56" s="69"/>
      <c r="D56" s="69"/>
    </row>
    <row r="57" spans="1:4" ht="15" customHeight="1" thickTop="1" x14ac:dyDescent="0.25">
      <c r="A57" s="72" t="s">
        <v>208</v>
      </c>
      <c r="B57" s="71">
        <f>SUM(B53:B56)+1</f>
        <v>147153898.24999997</v>
      </c>
      <c r="C57" s="69"/>
      <c r="D57" s="69"/>
    </row>
    <row r="58" spans="1:4" ht="11.1" customHeight="1" x14ac:dyDescent="0.25">
      <c r="A58" s="69"/>
      <c r="B58" s="69"/>
      <c r="C58" s="69"/>
      <c r="D58" s="69"/>
    </row>
    <row r="59" spans="1:4" ht="13.2" x14ac:dyDescent="0.25">
      <c r="A59" s="72" t="s">
        <v>207</v>
      </c>
      <c r="B59" s="69"/>
      <c r="C59" s="69"/>
      <c r="D59" s="69"/>
    </row>
    <row r="60" spans="1:4" ht="13.2" x14ac:dyDescent="0.25">
      <c r="A60" s="69" t="s">
        <v>206</v>
      </c>
      <c r="B60" s="73">
        <v>103093843</v>
      </c>
      <c r="C60" s="69"/>
      <c r="D60" s="69"/>
    </row>
    <row r="61" spans="1:4" ht="13.8" thickBot="1" x14ac:dyDescent="0.3">
      <c r="A61" s="69" t="s">
        <v>205</v>
      </c>
      <c r="B61" s="70">
        <v>41970388.829999998</v>
      </c>
      <c r="C61" s="69"/>
      <c r="D61" s="69"/>
    </row>
    <row r="62" spans="1:4" ht="15" customHeight="1" thickTop="1" x14ac:dyDescent="0.25">
      <c r="A62" s="72" t="s">
        <v>204</v>
      </c>
      <c r="B62" s="71">
        <f>SUM(B60:B61)</f>
        <v>145064231.82999998</v>
      </c>
      <c r="C62" s="69"/>
      <c r="D62" s="69"/>
    </row>
    <row r="63" spans="1:4" ht="11.1" customHeight="1" x14ac:dyDescent="0.25">
      <c r="A63" s="69"/>
      <c r="B63" s="69"/>
      <c r="C63" s="69"/>
      <c r="D63" s="69"/>
    </row>
    <row r="64" spans="1:4" ht="13.2" x14ac:dyDescent="0.25">
      <c r="A64" s="69" t="s">
        <v>203</v>
      </c>
      <c r="B64" s="69"/>
      <c r="C64" s="69"/>
      <c r="D64" s="69"/>
    </row>
    <row r="65" spans="1:4" ht="13.2" x14ac:dyDescent="0.25">
      <c r="A65" s="69" t="s">
        <v>202</v>
      </c>
      <c r="B65" s="70"/>
      <c r="C65" s="69"/>
      <c r="D65" s="69"/>
    </row>
    <row r="66" spans="1:4" ht="9.75" customHeight="1" x14ac:dyDescent="0.25">
      <c r="A66" s="69"/>
      <c r="B66" s="69"/>
      <c r="C66" s="69"/>
      <c r="D66" s="69"/>
    </row>
    <row r="67" spans="1:4" ht="13.2" x14ac:dyDescent="0.25">
      <c r="A67" s="69"/>
      <c r="B67" s="69"/>
      <c r="C67" s="69"/>
      <c r="D67" s="69"/>
    </row>
    <row r="68" spans="1:4" ht="13.2" x14ac:dyDescent="0.25">
      <c r="A68" s="69"/>
      <c r="B68" s="69"/>
      <c r="C68" s="69"/>
      <c r="D68" s="69"/>
    </row>
    <row r="69" spans="1:4" ht="13.2" x14ac:dyDescent="0.25">
      <c r="A69" s="69"/>
      <c r="B69" s="69"/>
      <c r="C69" s="69"/>
      <c r="D69" s="69"/>
    </row>
  </sheetData>
  <dataConsolidate/>
  <mergeCells count="7">
    <mergeCell ref="A7:D7"/>
    <mergeCell ref="A1:D1"/>
    <mergeCell ref="A6:D6"/>
    <mergeCell ref="A2:D2"/>
    <mergeCell ref="A3:D3"/>
    <mergeCell ref="A4:D4"/>
    <mergeCell ref="A5:D5"/>
  </mergeCells>
  <pageMargins left="0.9" right="0.6" top="0.5" bottom="0.25" header="0.3" footer="0.5"/>
  <pageSetup scale="98" orientation="portrait" r:id="rId1"/>
  <headerFooter alignWithMargins="0">
    <oddHeader xml:space="preserve">&amp;R&amp;10January 3, 2011&amp;8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67"/>
  <sheetViews>
    <sheetView workbookViewId="0">
      <selection activeCell="B13" sqref="B13"/>
    </sheetView>
  </sheetViews>
  <sheetFormatPr defaultColWidth="9.109375" defaultRowHeight="10.199999999999999" x14ac:dyDescent="0.2"/>
  <cols>
    <col min="1" max="1" width="63.88671875" style="68" customWidth="1"/>
    <col min="2" max="2" width="18.88671875" style="99" customWidth="1"/>
    <col min="3" max="3" width="1.44140625" style="68" customWidth="1"/>
    <col min="4" max="4" width="10.44140625" style="99" customWidth="1"/>
    <col min="5" max="5" width="9.6640625" style="68" bestFit="1" customWidth="1"/>
    <col min="6" max="6" width="11.6640625" style="68" bestFit="1" customWidth="1"/>
    <col min="7" max="16384" width="9.109375" style="68"/>
  </cols>
  <sheetData>
    <row r="1" spans="1:4" x14ac:dyDescent="0.2">
      <c r="B1" s="215">
        <v>40161</v>
      </c>
      <c r="C1" s="215"/>
      <c r="D1" s="215"/>
    </row>
    <row r="2" spans="1:4" ht="12" x14ac:dyDescent="0.25">
      <c r="A2" s="217" t="s">
        <v>233</v>
      </c>
      <c r="B2" s="217"/>
      <c r="C2" s="217"/>
      <c r="D2" s="217"/>
    </row>
    <row r="3" spans="1:4" ht="12" x14ac:dyDescent="0.25">
      <c r="A3" s="217" t="s">
        <v>237</v>
      </c>
      <c r="B3" s="217"/>
      <c r="C3" s="217"/>
      <c r="D3" s="217"/>
    </row>
    <row r="4" spans="1:4" ht="12" x14ac:dyDescent="0.25">
      <c r="A4" s="217" t="s">
        <v>231</v>
      </c>
      <c r="B4" s="217"/>
      <c r="C4" s="217"/>
      <c r="D4" s="217"/>
    </row>
    <row r="5" spans="1:4" ht="12" x14ac:dyDescent="0.25">
      <c r="A5" s="217" t="s">
        <v>236</v>
      </c>
      <c r="B5" s="217"/>
      <c r="C5" s="217"/>
      <c r="D5" s="217"/>
    </row>
    <row r="6" spans="1:4" ht="9" customHeight="1" x14ac:dyDescent="0.25">
      <c r="A6" s="217"/>
      <c r="B6" s="217"/>
      <c r="C6" s="217"/>
      <c r="D6" s="217"/>
    </row>
    <row r="7" spans="1:4" ht="12" x14ac:dyDescent="0.25">
      <c r="A7" s="217" t="s">
        <v>229</v>
      </c>
      <c r="B7" s="217"/>
      <c r="C7" s="217"/>
      <c r="D7" s="217"/>
    </row>
    <row r="8" spans="1:4" ht="12" x14ac:dyDescent="0.25">
      <c r="A8" s="216" t="s">
        <v>183</v>
      </c>
      <c r="B8" s="216"/>
      <c r="C8" s="216"/>
      <c r="D8" s="216"/>
    </row>
    <row r="9" spans="1:4" ht="9.75" customHeight="1" x14ac:dyDescent="0.25">
      <c r="A9" s="124"/>
      <c r="B9" s="123"/>
      <c r="C9" s="124"/>
      <c r="D9" s="123"/>
    </row>
    <row r="10" spans="1:4" ht="12" x14ac:dyDescent="0.25">
      <c r="A10" s="105" t="s">
        <v>228</v>
      </c>
      <c r="B10" s="101"/>
      <c r="C10" s="102"/>
      <c r="D10" s="101" t="s">
        <v>227</v>
      </c>
    </row>
    <row r="11" spans="1:4" ht="8.1" customHeight="1" x14ac:dyDescent="0.2">
      <c r="A11" s="102"/>
      <c r="B11" s="101"/>
      <c r="C11" s="102"/>
      <c r="D11" s="101"/>
    </row>
    <row r="12" spans="1:4" ht="11.4" x14ac:dyDescent="0.2">
      <c r="A12" s="102" t="s">
        <v>136</v>
      </c>
      <c r="B12" s="107">
        <v>1483895656</v>
      </c>
      <c r="C12" s="122"/>
      <c r="D12" s="114">
        <v>0.55979999999999996</v>
      </c>
    </row>
    <row r="13" spans="1:4" ht="11.4" x14ac:dyDescent="0.2">
      <c r="A13" s="102" t="s">
        <v>226</v>
      </c>
      <c r="B13" s="103">
        <v>38269022</v>
      </c>
      <c r="C13" s="115"/>
      <c r="D13" s="114">
        <v>1.44E-2</v>
      </c>
    </row>
    <row r="14" spans="1:4" ht="11.4" x14ac:dyDescent="0.2">
      <c r="A14" s="102" t="s">
        <v>225</v>
      </c>
      <c r="B14" s="103">
        <v>890174085</v>
      </c>
      <c r="C14" s="115"/>
      <c r="D14" s="114">
        <v>0.33579999999999999</v>
      </c>
    </row>
    <row r="15" spans="1:4" ht="11.4" x14ac:dyDescent="0.2">
      <c r="A15" s="102" t="s">
        <v>138</v>
      </c>
      <c r="B15" s="103">
        <v>89967360</v>
      </c>
      <c r="C15" s="115"/>
      <c r="D15" s="114">
        <v>3.39E-2</v>
      </c>
    </row>
    <row r="16" spans="1:4" ht="11.4" x14ac:dyDescent="0.2">
      <c r="A16" s="102" t="s">
        <v>139</v>
      </c>
      <c r="B16" s="103">
        <v>147318280</v>
      </c>
      <c r="C16" s="115"/>
      <c r="D16" s="114">
        <v>5.5599999999999997E-2</v>
      </c>
    </row>
    <row r="17" spans="1:6" ht="12" thickBot="1" x14ac:dyDescent="0.25">
      <c r="A17" s="102" t="s">
        <v>224</v>
      </c>
      <c r="B17" s="103">
        <v>900849</v>
      </c>
      <c r="C17" s="115"/>
      <c r="D17" s="114">
        <v>2.9999999999999997E-4</v>
      </c>
    </row>
    <row r="18" spans="1:6" ht="15" customHeight="1" thickTop="1" x14ac:dyDescent="0.25">
      <c r="A18" s="105" t="s">
        <v>223</v>
      </c>
      <c r="B18" s="104">
        <v>2650525252</v>
      </c>
      <c r="C18" s="121">
        <f>SUM(C12:C17)</f>
        <v>0</v>
      </c>
      <c r="D18" s="116">
        <v>1</v>
      </c>
    </row>
    <row r="19" spans="1:6" ht="7.5" customHeight="1" x14ac:dyDescent="0.25">
      <c r="A19" s="105"/>
      <c r="B19" s="103"/>
      <c r="C19" s="115"/>
      <c r="D19" s="114"/>
    </row>
    <row r="20" spans="1:6" ht="11.4" x14ac:dyDescent="0.2">
      <c r="A20" s="102" t="s">
        <v>222</v>
      </c>
      <c r="B20" s="103">
        <v>46262099</v>
      </c>
      <c r="C20" s="117"/>
      <c r="D20" s="120"/>
    </row>
    <row r="21" spans="1:6" ht="11.1" customHeight="1" x14ac:dyDescent="0.2">
      <c r="A21" s="102"/>
      <c r="B21" s="118"/>
      <c r="C21" s="119"/>
      <c r="D21" s="118"/>
    </row>
    <row r="22" spans="1:6" ht="11.1" customHeight="1" x14ac:dyDescent="0.2">
      <c r="A22" s="102"/>
      <c r="B22" s="101"/>
      <c r="C22" s="102"/>
      <c r="D22" s="101"/>
    </row>
    <row r="23" spans="1:6" ht="12" x14ac:dyDescent="0.25">
      <c r="A23" s="105" t="s">
        <v>221</v>
      </c>
      <c r="B23" s="101"/>
      <c r="C23" s="102"/>
      <c r="D23" s="101"/>
    </row>
    <row r="24" spans="1:6" ht="11.1" customHeight="1" x14ac:dyDescent="0.2">
      <c r="A24" s="102"/>
      <c r="B24" s="101"/>
      <c r="C24" s="102"/>
      <c r="D24" s="101"/>
    </row>
    <row r="25" spans="1:6" ht="13.2" x14ac:dyDescent="0.25">
      <c r="A25" s="102" t="s">
        <v>220</v>
      </c>
      <c r="B25" s="107">
        <v>1037678209</v>
      </c>
      <c r="C25" s="115"/>
      <c r="D25" s="114">
        <v>0.41399999999999998</v>
      </c>
      <c r="E25" s="77"/>
      <c r="F25" s="77"/>
    </row>
    <row r="26" spans="1:6" ht="13.2" x14ac:dyDescent="0.25">
      <c r="A26" s="102" t="s">
        <v>219</v>
      </c>
      <c r="B26" s="103">
        <v>473442456</v>
      </c>
      <c r="C26" s="115"/>
      <c r="D26" s="114">
        <v>0.189</v>
      </c>
      <c r="E26" s="77"/>
      <c r="F26" s="77"/>
    </row>
    <row r="27" spans="1:6" ht="13.2" x14ac:dyDescent="0.25">
      <c r="A27" s="102" t="s">
        <v>218</v>
      </c>
      <c r="B27" s="103">
        <v>40084522</v>
      </c>
      <c r="C27" s="115"/>
      <c r="D27" s="114">
        <v>1.6E-2</v>
      </c>
      <c r="E27" s="77"/>
      <c r="F27" s="77"/>
    </row>
    <row r="28" spans="1:6" ht="13.2" x14ac:dyDescent="0.25">
      <c r="A28" s="102" t="s">
        <v>147</v>
      </c>
      <c r="B28" s="103">
        <v>40409492</v>
      </c>
      <c r="C28" s="115"/>
      <c r="D28" s="114">
        <v>1.6E-2</v>
      </c>
      <c r="E28" s="77"/>
      <c r="F28" s="77"/>
    </row>
    <row r="29" spans="1:6" ht="11.1" customHeight="1" x14ac:dyDescent="0.25">
      <c r="A29" s="102"/>
      <c r="B29" s="113"/>
      <c r="C29" s="115"/>
      <c r="D29" s="114"/>
      <c r="E29" s="77"/>
      <c r="F29" s="77"/>
    </row>
    <row r="30" spans="1:6" ht="13.2" x14ac:dyDescent="0.25">
      <c r="A30" s="102" t="s">
        <v>148</v>
      </c>
      <c r="B30" s="103">
        <v>174446558</v>
      </c>
      <c r="C30" s="115"/>
      <c r="D30" s="114">
        <v>7.0000000000000007E-2</v>
      </c>
      <c r="E30" s="77"/>
      <c r="F30" s="77"/>
    </row>
    <row r="31" spans="1:6" ht="13.2" x14ac:dyDescent="0.25">
      <c r="A31" s="102" t="s">
        <v>149</v>
      </c>
      <c r="B31" s="103">
        <v>85507901</v>
      </c>
      <c r="C31" s="115"/>
      <c r="D31" s="114">
        <v>3.4000000000000002E-2</v>
      </c>
      <c r="E31" s="77"/>
      <c r="F31" s="77"/>
    </row>
    <row r="32" spans="1:6" ht="13.2" x14ac:dyDescent="0.25">
      <c r="A32" s="102" t="s">
        <v>217</v>
      </c>
      <c r="B32" s="103">
        <v>97950702</v>
      </c>
      <c r="C32" s="115"/>
      <c r="D32" s="114">
        <v>3.9E-2</v>
      </c>
      <c r="E32" s="77"/>
      <c r="F32" s="77"/>
    </row>
    <row r="33" spans="1:6" ht="13.2" x14ac:dyDescent="0.25">
      <c r="A33" s="102" t="s">
        <v>151</v>
      </c>
      <c r="B33" s="103">
        <v>134870384</v>
      </c>
      <c r="C33" s="115"/>
      <c r="D33" s="114">
        <v>5.3999999999999999E-2</v>
      </c>
      <c r="E33" s="77"/>
      <c r="F33" s="77"/>
    </row>
    <row r="34" spans="1:6" ht="13.2" x14ac:dyDescent="0.25">
      <c r="A34" s="102" t="s">
        <v>99</v>
      </c>
      <c r="B34" s="103">
        <v>13778424</v>
      </c>
      <c r="C34" s="115"/>
      <c r="D34" s="114">
        <v>5.0000000000000001E-3</v>
      </c>
      <c r="E34" s="77"/>
      <c r="F34" s="77"/>
    </row>
    <row r="35" spans="1:6" ht="13.2" x14ac:dyDescent="0.25">
      <c r="A35" s="102" t="s">
        <v>152</v>
      </c>
      <c r="B35" s="103">
        <v>224233619</v>
      </c>
      <c r="C35" s="115"/>
      <c r="D35" s="114">
        <v>8.8999999999999996E-2</v>
      </c>
      <c r="E35" s="77"/>
      <c r="F35" s="77"/>
    </row>
    <row r="36" spans="1:6" ht="13.2" x14ac:dyDescent="0.25">
      <c r="A36" s="102" t="s">
        <v>103</v>
      </c>
      <c r="B36" s="103">
        <v>107522931</v>
      </c>
      <c r="C36" s="115"/>
      <c r="D36" s="114">
        <v>4.2999999999999997E-2</v>
      </c>
      <c r="E36" s="77"/>
      <c r="F36" s="77"/>
    </row>
    <row r="37" spans="1:6" ht="13.2" x14ac:dyDescent="0.25">
      <c r="A37" s="102" t="s">
        <v>153</v>
      </c>
      <c r="B37" s="103">
        <v>733654</v>
      </c>
      <c r="C37" s="115"/>
      <c r="D37" s="114">
        <v>0</v>
      </c>
      <c r="E37" s="77"/>
      <c r="F37" s="77"/>
    </row>
    <row r="38" spans="1:6" ht="13.2" x14ac:dyDescent="0.25">
      <c r="A38" s="102" t="s">
        <v>154</v>
      </c>
      <c r="B38" s="103">
        <v>6800562</v>
      </c>
      <c r="C38" s="115"/>
      <c r="D38" s="114">
        <v>3.0000000000000001E-3</v>
      </c>
      <c r="E38" s="77"/>
      <c r="F38" s="77"/>
    </row>
    <row r="39" spans="1:6" ht="13.2" x14ac:dyDescent="0.25">
      <c r="A39" s="102" t="s">
        <v>163</v>
      </c>
      <c r="B39" s="103">
        <v>45591427</v>
      </c>
      <c r="C39" s="115"/>
      <c r="D39" s="114">
        <v>1.7999999999999999E-2</v>
      </c>
      <c r="E39" s="77"/>
      <c r="F39" s="77"/>
    </row>
    <row r="40" spans="1:6" ht="13.2" x14ac:dyDescent="0.25">
      <c r="A40" s="102" t="s">
        <v>157</v>
      </c>
      <c r="B40" s="103">
        <v>557072</v>
      </c>
      <c r="C40" s="115"/>
      <c r="D40" s="114">
        <v>0</v>
      </c>
      <c r="E40" s="77"/>
      <c r="F40" s="77"/>
    </row>
    <row r="41" spans="1:6" ht="13.2" x14ac:dyDescent="0.25">
      <c r="A41" s="102" t="s">
        <v>104</v>
      </c>
      <c r="B41" s="103">
        <v>25393600</v>
      </c>
      <c r="C41" s="115"/>
      <c r="D41" s="114">
        <v>0.01</v>
      </c>
      <c r="E41" s="77"/>
      <c r="F41" s="77"/>
    </row>
    <row r="42" spans="1:6" ht="6.75" customHeight="1" thickBot="1" x14ac:dyDescent="0.25">
      <c r="A42" s="102"/>
      <c r="B42" s="103"/>
      <c r="C42" s="115"/>
      <c r="D42" s="114"/>
    </row>
    <row r="43" spans="1:6" ht="15" customHeight="1" thickTop="1" x14ac:dyDescent="0.25">
      <c r="A43" s="105" t="s">
        <v>216</v>
      </c>
      <c r="B43" s="104">
        <v>2509001513</v>
      </c>
      <c r="C43" s="117"/>
      <c r="D43" s="116">
        <v>1</v>
      </c>
      <c r="E43" s="81"/>
      <c r="F43" s="81"/>
    </row>
    <row r="44" spans="1:6" ht="11.4" x14ac:dyDescent="0.2">
      <c r="A44" s="102" t="s">
        <v>158</v>
      </c>
      <c r="B44" s="112">
        <v>80835378</v>
      </c>
      <c r="C44" s="115"/>
      <c r="D44" s="114"/>
    </row>
    <row r="45" spans="1:6" ht="6.75" customHeight="1" x14ac:dyDescent="0.2">
      <c r="A45" s="102"/>
      <c r="B45" s="112"/>
      <c r="C45" s="115"/>
      <c r="D45" s="114"/>
    </row>
    <row r="46" spans="1:6" ht="12" x14ac:dyDescent="0.25">
      <c r="A46" s="105" t="s">
        <v>215</v>
      </c>
      <c r="B46" s="107">
        <v>2589836891</v>
      </c>
      <c r="C46" s="102"/>
      <c r="D46" s="101"/>
    </row>
    <row r="47" spans="1:6" ht="6.75" customHeight="1" x14ac:dyDescent="0.25">
      <c r="A47" s="105"/>
      <c r="B47" s="113"/>
      <c r="C47" s="102"/>
      <c r="D47" s="101"/>
    </row>
    <row r="48" spans="1:6" ht="11.4" x14ac:dyDescent="0.2">
      <c r="A48" s="102" t="s">
        <v>214</v>
      </c>
      <c r="B48" s="112">
        <v>103170648</v>
      </c>
      <c r="C48" s="102"/>
      <c r="D48" s="101"/>
    </row>
    <row r="49" spans="1:6" ht="11.1" customHeight="1" thickBot="1" x14ac:dyDescent="0.25">
      <c r="A49" s="102"/>
      <c r="B49" s="101"/>
      <c r="C49" s="102"/>
      <c r="D49" s="101"/>
    </row>
    <row r="50" spans="1:6" ht="12.6" thickTop="1" x14ac:dyDescent="0.25">
      <c r="A50" s="111" t="s">
        <v>213</v>
      </c>
      <c r="B50" s="109"/>
      <c r="C50" s="110"/>
      <c r="D50" s="109"/>
    </row>
    <row r="51" spans="1:6" ht="11.1" customHeight="1" x14ac:dyDescent="0.2">
      <c r="A51" s="102"/>
      <c r="B51" s="101"/>
      <c r="C51" s="102"/>
      <c r="D51" s="101"/>
    </row>
    <row r="52" spans="1:6" ht="12" x14ac:dyDescent="0.25">
      <c r="A52" s="105" t="s">
        <v>212</v>
      </c>
      <c r="B52" s="101"/>
      <c r="C52" s="102"/>
      <c r="D52" s="101"/>
    </row>
    <row r="53" spans="1:6" ht="11.4" x14ac:dyDescent="0.2">
      <c r="A53" s="102" t="s">
        <v>211</v>
      </c>
      <c r="B53" s="103">
        <v>99503362</v>
      </c>
      <c r="C53" s="102"/>
      <c r="D53" s="101"/>
      <c r="F53" s="108"/>
    </row>
    <row r="54" spans="1:6" ht="11.4" x14ac:dyDescent="0.2">
      <c r="A54" s="102" t="s">
        <v>210</v>
      </c>
      <c r="B54" s="103">
        <v>173752</v>
      </c>
      <c r="C54" s="102"/>
      <c r="D54" s="101"/>
      <c r="F54" s="108"/>
    </row>
    <row r="55" spans="1:6" ht="11.4" x14ac:dyDescent="0.2">
      <c r="A55" s="102" t="s">
        <v>205</v>
      </c>
      <c r="B55" s="103">
        <v>43559000</v>
      </c>
      <c r="C55" s="102"/>
      <c r="D55" s="101"/>
      <c r="F55" s="108"/>
    </row>
    <row r="56" spans="1:6" ht="12" thickBot="1" x14ac:dyDescent="0.25">
      <c r="A56" s="102" t="s">
        <v>209</v>
      </c>
      <c r="B56" s="103">
        <v>1062230</v>
      </c>
      <c r="C56" s="102"/>
      <c r="D56" s="101"/>
      <c r="F56" s="108"/>
    </row>
    <row r="57" spans="1:6" ht="15" customHeight="1" thickTop="1" x14ac:dyDescent="0.25">
      <c r="A57" s="105" t="s">
        <v>208</v>
      </c>
      <c r="B57" s="104">
        <v>144298343</v>
      </c>
      <c r="C57" s="102"/>
      <c r="D57" s="101"/>
    </row>
    <row r="58" spans="1:6" ht="11.1" customHeight="1" x14ac:dyDescent="0.2">
      <c r="A58" s="102"/>
      <c r="B58" s="101"/>
      <c r="C58" s="102"/>
      <c r="D58" s="101"/>
    </row>
    <row r="59" spans="1:6" ht="12" x14ac:dyDescent="0.25">
      <c r="A59" s="105" t="s">
        <v>207</v>
      </c>
      <c r="B59" s="101"/>
      <c r="C59" s="102"/>
      <c r="D59" s="101"/>
    </row>
    <row r="60" spans="1:6" ht="11.4" x14ac:dyDescent="0.2">
      <c r="A60" s="102" t="s">
        <v>206</v>
      </c>
      <c r="B60" s="107">
        <v>108223735</v>
      </c>
      <c r="C60" s="102"/>
      <c r="D60" s="101"/>
      <c r="F60" s="106"/>
    </row>
    <row r="61" spans="1:6" ht="12" thickBot="1" x14ac:dyDescent="0.25">
      <c r="A61" s="102" t="s">
        <v>205</v>
      </c>
      <c r="B61" s="103">
        <v>43559000</v>
      </c>
      <c r="C61" s="102"/>
      <c r="D61" s="101"/>
      <c r="F61" s="106"/>
    </row>
    <row r="62" spans="1:6" ht="15" customHeight="1" thickTop="1" x14ac:dyDescent="0.25">
      <c r="A62" s="105" t="s">
        <v>204</v>
      </c>
      <c r="B62" s="104">
        <v>151782735</v>
      </c>
      <c r="C62" s="102"/>
      <c r="D62" s="101"/>
    </row>
    <row r="63" spans="1:6" ht="11.1" customHeight="1" x14ac:dyDescent="0.2">
      <c r="A63" s="102"/>
      <c r="B63" s="101"/>
      <c r="C63" s="102"/>
      <c r="D63" s="101"/>
    </row>
    <row r="64" spans="1:6" ht="11.4" x14ac:dyDescent="0.2">
      <c r="A64" s="102" t="s">
        <v>203</v>
      </c>
      <c r="B64" s="101"/>
      <c r="C64" s="102"/>
      <c r="D64" s="101"/>
    </row>
    <row r="65" spans="1:4" ht="11.4" x14ac:dyDescent="0.2">
      <c r="A65" s="102" t="s">
        <v>202</v>
      </c>
      <c r="B65" s="103"/>
      <c r="C65" s="102"/>
      <c r="D65" s="101"/>
    </row>
    <row r="66" spans="1:4" ht="9.75" customHeight="1" x14ac:dyDescent="0.25">
      <c r="A66" s="69"/>
      <c r="B66" s="100"/>
      <c r="C66" s="69"/>
      <c r="D66" s="100"/>
    </row>
    <row r="67" spans="1:4" ht="13.2" x14ac:dyDescent="0.25">
      <c r="A67" s="214"/>
      <c r="B67" s="214"/>
      <c r="C67" s="214"/>
      <c r="D67" s="214"/>
    </row>
  </sheetData>
  <dataConsolidate/>
  <mergeCells count="9">
    <mergeCell ref="A67:D67"/>
    <mergeCell ref="B1:D1"/>
    <mergeCell ref="A8:D8"/>
    <mergeCell ref="A2:D2"/>
    <mergeCell ref="A7:D7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69"/>
  <sheetViews>
    <sheetView workbookViewId="0">
      <selection activeCell="A25" sqref="A25"/>
    </sheetView>
  </sheetViews>
  <sheetFormatPr defaultColWidth="9.109375" defaultRowHeight="10.199999999999999" x14ac:dyDescent="0.2"/>
  <cols>
    <col min="1" max="1" width="63.88671875" style="68" customWidth="1"/>
    <col min="2" max="2" width="18.88671875" style="99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4" ht="11.4" x14ac:dyDescent="0.2">
      <c r="B1" s="218">
        <v>39790</v>
      </c>
      <c r="C1" s="218"/>
      <c r="D1" s="218"/>
    </row>
    <row r="2" spans="1:4" ht="12" x14ac:dyDescent="0.25">
      <c r="A2" s="217" t="s">
        <v>246</v>
      </c>
      <c r="B2" s="217"/>
      <c r="C2" s="217"/>
      <c r="D2" s="217"/>
    </row>
    <row r="3" spans="1:4" ht="12" x14ac:dyDescent="0.25">
      <c r="A3" s="217" t="s">
        <v>237</v>
      </c>
      <c r="B3" s="217"/>
      <c r="C3" s="217"/>
      <c r="D3" s="217"/>
    </row>
    <row r="4" spans="1:4" ht="12" x14ac:dyDescent="0.25">
      <c r="A4" s="217" t="s">
        <v>231</v>
      </c>
      <c r="B4" s="217"/>
      <c r="C4" s="217"/>
      <c r="D4" s="217"/>
    </row>
    <row r="5" spans="1:4" ht="12" x14ac:dyDescent="0.25">
      <c r="A5" s="217" t="s">
        <v>236</v>
      </c>
      <c r="B5" s="217"/>
      <c r="C5" s="217"/>
      <c r="D5" s="217"/>
    </row>
    <row r="6" spans="1:4" ht="9" customHeight="1" x14ac:dyDescent="0.25">
      <c r="A6" s="217"/>
      <c r="B6" s="217"/>
      <c r="C6" s="217"/>
      <c r="D6" s="217"/>
    </row>
    <row r="7" spans="1:4" ht="12" x14ac:dyDescent="0.25">
      <c r="A7" s="217" t="s">
        <v>229</v>
      </c>
      <c r="B7" s="217"/>
      <c r="C7" s="217"/>
      <c r="D7" s="217"/>
    </row>
    <row r="8" spans="1:4" ht="12" x14ac:dyDescent="0.25">
      <c r="A8" s="216" t="s">
        <v>182</v>
      </c>
      <c r="B8" s="216"/>
      <c r="C8" s="216"/>
      <c r="D8" s="216"/>
    </row>
    <row r="9" spans="1:4" ht="9.75" customHeight="1" x14ac:dyDescent="0.25">
      <c r="A9" s="124"/>
      <c r="B9" s="123"/>
      <c r="C9" s="124"/>
      <c r="D9" s="124"/>
    </row>
    <row r="10" spans="1:4" ht="12" x14ac:dyDescent="0.25">
      <c r="A10" s="132" t="s">
        <v>228</v>
      </c>
      <c r="B10" s="131"/>
      <c r="C10" s="130"/>
      <c r="D10" s="134" t="s">
        <v>227</v>
      </c>
    </row>
    <row r="11" spans="1:4" ht="8.1" customHeight="1" x14ac:dyDescent="0.2">
      <c r="A11" s="102"/>
      <c r="B11" s="101"/>
      <c r="C11" s="102"/>
      <c r="D11" s="102"/>
    </row>
    <row r="12" spans="1:4" ht="11.4" x14ac:dyDescent="0.2">
      <c r="A12" s="102" t="s">
        <v>136</v>
      </c>
      <c r="B12" s="107">
        <v>1376945977</v>
      </c>
      <c r="C12" s="122"/>
      <c r="D12" s="128">
        <f t="shared" ref="D12:D17" si="0">ROUND(B12/$B$18,4)</f>
        <v>0.54069999999999996</v>
      </c>
    </row>
    <row r="13" spans="1:4" ht="11.4" x14ac:dyDescent="0.2">
      <c r="A13" s="102" t="s">
        <v>226</v>
      </c>
      <c r="B13" s="103">
        <v>46236081</v>
      </c>
      <c r="C13" s="115"/>
      <c r="D13" s="128">
        <f t="shared" si="0"/>
        <v>1.8200000000000001E-2</v>
      </c>
    </row>
    <row r="14" spans="1:4" ht="11.4" x14ac:dyDescent="0.2">
      <c r="A14" s="102" t="s">
        <v>225</v>
      </c>
      <c r="B14" s="103">
        <v>889645105</v>
      </c>
      <c r="C14" s="115"/>
      <c r="D14" s="128">
        <f t="shared" si="0"/>
        <v>0.3493</v>
      </c>
    </row>
    <row r="15" spans="1:4" ht="11.4" x14ac:dyDescent="0.2">
      <c r="A15" s="102" t="s">
        <v>138</v>
      </c>
      <c r="B15" s="103">
        <v>96997662</v>
      </c>
      <c r="C15" s="115"/>
      <c r="D15" s="128">
        <f t="shared" si="0"/>
        <v>3.8100000000000002E-2</v>
      </c>
    </row>
    <row r="16" spans="1:4" ht="11.4" x14ac:dyDescent="0.2">
      <c r="A16" s="102" t="s">
        <v>139</v>
      </c>
      <c r="B16" s="103">
        <v>136515834</v>
      </c>
      <c r="C16" s="115"/>
      <c r="D16" s="128">
        <f t="shared" si="0"/>
        <v>5.3600000000000002E-2</v>
      </c>
    </row>
    <row r="17" spans="1:6" ht="12" thickBot="1" x14ac:dyDescent="0.25">
      <c r="A17" s="102" t="s">
        <v>224</v>
      </c>
      <c r="B17" s="103">
        <v>359314</v>
      </c>
      <c r="C17" s="115"/>
      <c r="D17" s="128">
        <f t="shared" si="0"/>
        <v>1E-4</v>
      </c>
    </row>
    <row r="18" spans="1:6" ht="15" customHeight="1" thickTop="1" x14ac:dyDescent="0.25">
      <c r="A18" s="105" t="s">
        <v>223</v>
      </c>
      <c r="B18" s="104">
        <f>SUM(B12:B17)</f>
        <v>2546699973</v>
      </c>
      <c r="C18" s="121">
        <f>SUM(C12:C17)</f>
        <v>0</v>
      </c>
      <c r="D18" s="129">
        <f>SUM(D12:D17)</f>
        <v>0.99999999999999989</v>
      </c>
    </row>
    <row r="19" spans="1:6" ht="7.5" customHeight="1" x14ac:dyDescent="0.25">
      <c r="A19" s="105"/>
      <c r="B19" s="103"/>
      <c r="C19" s="115"/>
      <c r="D19" s="128"/>
    </row>
    <row r="20" spans="1:6" ht="11.4" x14ac:dyDescent="0.2">
      <c r="A20" s="102" t="s">
        <v>222</v>
      </c>
      <c r="B20" s="103">
        <v>22135365</v>
      </c>
      <c r="C20" s="117"/>
      <c r="D20" s="133"/>
    </row>
    <row r="21" spans="1:6" ht="11.1" customHeight="1" x14ac:dyDescent="0.2">
      <c r="A21" s="102"/>
      <c r="B21" s="118"/>
      <c r="C21" s="119"/>
      <c r="D21" s="119"/>
    </row>
    <row r="22" spans="1:6" ht="11.1" customHeight="1" x14ac:dyDescent="0.2">
      <c r="A22" s="102"/>
      <c r="B22" s="101"/>
      <c r="C22" s="102"/>
      <c r="D22" s="102"/>
    </row>
    <row r="23" spans="1:6" ht="12" x14ac:dyDescent="0.25">
      <c r="A23" s="132" t="s">
        <v>221</v>
      </c>
      <c r="B23" s="131"/>
      <c r="C23" s="130"/>
      <c r="D23" s="130"/>
    </row>
    <row r="24" spans="1:6" ht="11.1" customHeight="1" x14ac:dyDescent="0.2">
      <c r="A24" s="102"/>
      <c r="B24" s="101"/>
      <c r="C24" s="102"/>
      <c r="D24" s="102"/>
    </row>
    <row r="25" spans="1:6" ht="13.2" x14ac:dyDescent="0.25">
      <c r="A25" s="102" t="s">
        <v>220</v>
      </c>
      <c r="B25" s="107">
        <v>1013773347</v>
      </c>
      <c r="C25" s="115"/>
      <c r="D25" s="128">
        <f>ROUND(B25/$B$43,5)</f>
        <v>0.41931000000000002</v>
      </c>
      <c r="E25" s="77"/>
      <c r="F25" s="98"/>
    </row>
    <row r="26" spans="1:6" ht="13.2" x14ac:dyDescent="0.25">
      <c r="A26" s="102" t="s">
        <v>219</v>
      </c>
      <c r="B26" s="103">
        <v>448968560</v>
      </c>
      <c r="C26" s="115"/>
      <c r="D26" s="128">
        <f>ROUND(B26/$B$43,5)-0.0001</f>
        <v>0.18560000000000001</v>
      </c>
      <c r="E26" s="77"/>
      <c r="F26" s="98"/>
    </row>
    <row r="27" spans="1:6" ht="13.2" x14ac:dyDescent="0.25">
      <c r="A27" s="102" t="s">
        <v>218</v>
      </c>
      <c r="B27" s="103">
        <v>38691765</v>
      </c>
      <c r="C27" s="115"/>
      <c r="D27" s="128">
        <f>ROUND(B27/$B$43,5)</f>
        <v>1.6E-2</v>
      </c>
      <c r="E27" s="77"/>
      <c r="F27" s="98"/>
    </row>
    <row r="28" spans="1:6" ht="13.2" x14ac:dyDescent="0.25">
      <c r="A28" s="102" t="s">
        <v>147</v>
      </c>
      <c r="B28" s="103">
        <v>38171764</v>
      </c>
      <c r="C28" s="115"/>
      <c r="D28" s="128">
        <f>ROUND(B28/$B$43,5)</f>
        <v>1.5789999999999998E-2</v>
      </c>
      <c r="E28" s="77"/>
      <c r="F28" s="98"/>
    </row>
    <row r="29" spans="1:6" ht="11.1" customHeight="1" x14ac:dyDescent="0.25">
      <c r="A29" s="102"/>
      <c r="B29" s="113"/>
      <c r="C29" s="115"/>
      <c r="D29" s="128"/>
      <c r="E29" s="77"/>
      <c r="F29" s="98"/>
    </row>
    <row r="30" spans="1:6" ht="13.2" x14ac:dyDescent="0.25">
      <c r="A30" s="102" t="s">
        <v>148</v>
      </c>
      <c r="B30" s="103">
        <v>164875015</v>
      </c>
      <c r="C30" s="115"/>
      <c r="D30" s="128">
        <f t="shared" ref="D30:D41" si="1">ROUND(B30/$B$43,5)</f>
        <v>6.8190000000000001E-2</v>
      </c>
      <c r="E30" s="77"/>
      <c r="F30" s="98"/>
    </row>
    <row r="31" spans="1:6" ht="13.2" x14ac:dyDescent="0.25">
      <c r="A31" s="102" t="s">
        <v>149</v>
      </c>
      <c r="B31" s="103">
        <v>79038059</v>
      </c>
      <c r="C31" s="115"/>
      <c r="D31" s="128">
        <f t="shared" si="1"/>
        <v>3.2689999999999997E-2</v>
      </c>
      <c r="E31" s="77"/>
      <c r="F31" s="98"/>
    </row>
    <row r="32" spans="1:6" ht="13.2" x14ac:dyDescent="0.25">
      <c r="A32" s="102" t="s">
        <v>217</v>
      </c>
      <c r="B32" s="103">
        <v>92837894</v>
      </c>
      <c r="C32" s="115"/>
      <c r="D32" s="128">
        <f t="shared" si="1"/>
        <v>3.8399999999999997E-2</v>
      </c>
      <c r="E32" s="77"/>
      <c r="F32" s="98"/>
    </row>
    <row r="33" spans="1:6" ht="13.2" x14ac:dyDescent="0.25">
      <c r="A33" s="102" t="s">
        <v>151</v>
      </c>
      <c r="B33" s="103">
        <v>130024743</v>
      </c>
      <c r="C33" s="115"/>
      <c r="D33" s="128">
        <f t="shared" si="1"/>
        <v>5.3780000000000001E-2</v>
      </c>
      <c r="E33" s="77"/>
      <c r="F33" s="98"/>
    </row>
    <row r="34" spans="1:6" ht="13.2" x14ac:dyDescent="0.25">
      <c r="A34" s="102" t="s">
        <v>99</v>
      </c>
      <c r="B34" s="103">
        <v>13255454</v>
      </c>
      <c r="C34" s="115"/>
      <c r="D34" s="128">
        <f t="shared" si="1"/>
        <v>5.4799999999999996E-3</v>
      </c>
      <c r="E34" s="77"/>
      <c r="F34" s="98"/>
    </row>
    <row r="35" spans="1:6" ht="13.2" x14ac:dyDescent="0.25">
      <c r="A35" s="102" t="s">
        <v>152</v>
      </c>
      <c r="B35" s="103">
        <v>214373185</v>
      </c>
      <c r="C35" s="115"/>
      <c r="D35" s="128">
        <f t="shared" si="1"/>
        <v>8.8669999999999999E-2</v>
      </c>
      <c r="E35" s="77"/>
      <c r="F35" s="98"/>
    </row>
    <row r="36" spans="1:6" ht="13.2" x14ac:dyDescent="0.25">
      <c r="A36" s="102" t="s">
        <v>103</v>
      </c>
      <c r="B36" s="103">
        <v>103662630</v>
      </c>
      <c r="C36" s="115"/>
      <c r="D36" s="128">
        <f t="shared" si="1"/>
        <v>4.2880000000000001E-2</v>
      </c>
      <c r="E36" s="77"/>
      <c r="F36" s="98"/>
    </row>
    <row r="37" spans="1:6" ht="13.2" x14ac:dyDescent="0.25">
      <c r="A37" s="102" t="s">
        <v>153</v>
      </c>
      <c r="B37" s="103">
        <v>347873</v>
      </c>
      <c r="C37" s="115"/>
      <c r="D37" s="128">
        <f t="shared" si="1"/>
        <v>1.3999999999999999E-4</v>
      </c>
      <c r="E37" s="77"/>
      <c r="F37" s="98"/>
    </row>
    <row r="38" spans="1:6" ht="13.2" x14ac:dyDescent="0.25">
      <c r="A38" s="102" t="s">
        <v>154</v>
      </c>
      <c r="B38" s="103">
        <v>6582232</v>
      </c>
      <c r="C38" s="115"/>
      <c r="D38" s="128">
        <f t="shared" si="1"/>
        <v>2.7200000000000002E-3</v>
      </c>
      <c r="E38" s="77"/>
      <c r="F38" s="98"/>
    </row>
    <row r="39" spans="1:6" ht="13.2" x14ac:dyDescent="0.25">
      <c r="A39" s="102" t="s">
        <v>163</v>
      </c>
      <c r="B39" s="103">
        <v>48357894</v>
      </c>
      <c r="C39" s="115"/>
      <c r="D39" s="128">
        <f t="shared" si="1"/>
        <v>0.02</v>
      </c>
      <c r="E39" s="77"/>
      <c r="F39" s="98"/>
    </row>
    <row r="40" spans="1:6" ht="13.2" x14ac:dyDescent="0.25">
      <c r="A40" s="102" t="s">
        <v>157</v>
      </c>
      <c r="B40" s="103">
        <v>545095</v>
      </c>
      <c r="C40" s="115"/>
      <c r="D40" s="128">
        <f t="shared" si="1"/>
        <v>2.3000000000000001E-4</v>
      </c>
      <c r="E40" s="77"/>
      <c r="F40" s="98"/>
    </row>
    <row r="41" spans="1:6" ht="13.2" x14ac:dyDescent="0.25">
      <c r="A41" s="102" t="s">
        <v>104</v>
      </c>
      <c r="B41" s="103">
        <v>24220636</v>
      </c>
      <c r="C41" s="115"/>
      <c r="D41" s="128">
        <f t="shared" si="1"/>
        <v>1.0019999999999999E-2</v>
      </c>
      <c r="E41" s="77"/>
      <c r="F41" s="98"/>
    </row>
    <row r="42" spans="1:6" ht="6.75" customHeight="1" thickBot="1" x14ac:dyDescent="0.25">
      <c r="A42" s="102"/>
      <c r="B42" s="103"/>
      <c r="C42" s="115"/>
      <c r="D42" s="128"/>
    </row>
    <row r="43" spans="1:6" ht="15" customHeight="1" thickTop="1" x14ac:dyDescent="0.25">
      <c r="A43" s="105" t="s">
        <v>216</v>
      </c>
      <c r="B43" s="104">
        <f>SUM(B25:B41)</f>
        <v>2417726146</v>
      </c>
      <c r="C43" s="117"/>
      <c r="D43" s="129">
        <f>SUM(D25:D41)</f>
        <v>0.99990000000000012</v>
      </c>
      <c r="E43" s="81"/>
    </row>
    <row r="44" spans="1:6" ht="11.4" x14ac:dyDescent="0.2">
      <c r="A44" s="102" t="s">
        <v>158</v>
      </c>
      <c r="B44" s="112">
        <v>134172855</v>
      </c>
      <c r="C44" s="115"/>
      <c r="D44" s="128"/>
    </row>
    <row r="45" spans="1:6" ht="6.75" customHeight="1" x14ac:dyDescent="0.2">
      <c r="A45" s="102"/>
      <c r="B45" s="112"/>
      <c r="C45" s="115"/>
      <c r="D45" s="128"/>
    </row>
    <row r="46" spans="1:6" ht="12" x14ac:dyDescent="0.25">
      <c r="A46" s="105" t="s">
        <v>215</v>
      </c>
      <c r="B46" s="107">
        <f>SUM(B43:B45)</f>
        <v>2551899001</v>
      </c>
      <c r="C46" s="102"/>
      <c r="D46" s="102"/>
    </row>
    <row r="47" spans="1:6" ht="6.75" customHeight="1" x14ac:dyDescent="0.25">
      <c r="A47" s="105"/>
      <c r="B47" s="113"/>
      <c r="C47" s="102"/>
      <c r="D47" s="102"/>
    </row>
    <row r="48" spans="1:6" ht="11.4" x14ac:dyDescent="0.2">
      <c r="A48" s="102" t="s">
        <v>214</v>
      </c>
      <c r="B48" s="112">
        <v>102118643</v>
      </c>
      <c r="C48" s="102"/>
      <c r="D48" s="102"/>
    </row>
    <row r="49" spans="1:4" ht="11.1" customHeight="1" thickBot="1" x14ac:dyDescent="0.25">
      <c r="A49" s="102"/>
      <c r="B49" s="101"/>
      <c r="C49" s="102"/>
      <c r="D49" s="102"/>
    </row>
    <row r="50" spans="1:4" ht="12.6" thickTop="1" x14ac:dyDescent="0.25">
      <c r="A50" s="127" t="s">
        <v>213</v>
      </c>
      <c r="B50" s="126"/>
      <c r="C50" s="125"/>
      <c r="D50" s="125"/>
    </row>
    <row r="51" spans="1:4" ht="11.1" customHeight="1" x14ac:dyDescent="0.2">
      <c r="A51" s="102"/>
      <c r="B51" s="101"/>
      <c r="C51" s="102"/>
      <c r="D51" s="102"/>
    </row>
    <row r="52" spans="1:4" ht="12" x14ac:dyDescent="0.25">
      <c r="A52" s="105" t="s">
        <v>212</v>
      </c>
      <c r="B52" s="101"/>
      <c r="C52" s="102"/>
      <c r="D52" s="102"/>
    </row>
    <row r="53" spans="1:4" ht="11.4" x14ac:dyDescent="0.2">
      <c r="A53" s="102" t="s">
        <v>211</v>
      </c>
      <c r="B53" s="103">
        <v>102497688.32000004</v>
      </c>
      <c r="C53" s="102"/>
      <c r="D53" s="102"/>
    </row>
    <row r="54" spans="1:4" ht="11.4" x14ac:dyDescent="0.2">
      <c r="A54" s="102" t="s">
        <v>210</v>
      </c>
      <c r="B54" s="103">
        <v>147158.74</v>
      </c>
      <c r="C54" s="102"/>
      <c r="D54" s="102"/>
    </row>
    <row r="55" spans="1:4" ht="11.4" x14ac:dyDescent="0.2">
      <c r="A55" s="102" t="s">
        <v>205</v>
      </c>
      <c r="B55" s="103">
        <v>44358435.160000004</v>
      </c>
      <c r="C55" s="102"/>
      <c r="D55" s="102"/>
    </row>
    <row r="56" spans="1:4" ht="12" thickBot="1" x14ac:dyDescent="0.25">
      <c r="A56" s="102" t="s">
        <v>209</v>
      </c>
      <c r="B56" s="103">
        <v>1147289</v>
      </c>
      <c r="C56" s="102"/>
      <c r="D56" s="102"/>
    </row>
    <row r="57" spans="1:4" ht="15" customHeight="1" thickTop="1" x14ac:dyDescent="0.25">
      <c r="A57" s="105" t="s">
        <v>208</v>
      </c>
      <c r="B57" s="104">
        <f>SUM(B53:B56)</f>
        <v>148150571.22000003</v>
      </c>
      <c r="C57" s="102"/>
      <c r="D57" s="102"/>
    </row>
    <row r="58" spans="1:4" ht="11.1" customHeight="1" x14ac:dyDescent="0.2">
      <c r="A58" s="102"/>
      <c r="B58" s="101"/>
      <c r="C58" s="102"/>
      <c r="D58" s="102"/>
    </row>
    <row r="59" spans="1:4" ht="12" x14ac:dyDescent="0.25">
      <c r="A59" s="105" t="s">
        <v>207</v>
      </c>
      <c r="B59" s="101"/>
      <c r="C59" s="102"/>
      <c r="D59" s="102"/>
    </row>
    <row r="60" spans="1:4" ht="11.4" x14ac:dyDescent="0.2">
      <c r="A60" s="102" t="s">
        <v>206</v>
      </c>
      <c r="B60" s="107">
        <v>103822918</v>
      </c>
      <c r="C60" s="102"/>
      <c r="D60" s="102"/>
    </row>
    <row r="61" spans="1:4" ht="12" thickBot="1" x14ac:dyDescent="0.25">
      <c r="A61" s="102" t="s">
        <v>205</v>
      </c>
      <c r="B61" s="103">
        <v>44358435.160000004</v>
      </c>
      <c r="C61" s="102"/>
      <c r="D61" s="102"/>
    </row>
    <row r="62" spans="1:4" ht="15" customHeight="1" thickTop="1" x14ac:dyDescent="0.25">
      <c r="A62" s="105" t="s">
        <v>204</v>
      </c>
      <c r="B62" s="104">
        <f>SUM(B60:B61)</f>
        <v>148181353.16</v>
      </c>
      <c r="C62" s="102"/>
      <c r="D62" s="102"/>
    </row>
    <row r="63" spans="1:4" ht="11.1" customHeight="1" x14ac:dyDescent="0.2">
      <c r="A63" s="102"/>
      <c r="B63" s="101"/>
      <c r="C63" s="102"/>
      <c r="D63" s="102"/>
    </row>
    <row r="64" spans="1:4" ht="11.4" x14ac:dyDescent="0.2">
      <c r="A64" s="102" t="s">
        <v>203</v>
      </c>
      <c r="B64" s="101"/>
      <c r="C64" s="102"/>
      <c r="D64" s="102"/>
    </row>
    <row r="65" spans="1:4" ht="11.4" x14ac:dyDescent="0.2">
      <c r="A65" s="102" t="s">
        <v>202</v>
      </c>
      <c r="B65" s="103"/>
      <c r="C65" s="102"/>
      <c r="D65" s="102"/>
    </row>
    <row r="66" spans="1:4" ht="9.75" customHeight="1" x14ac:dyDescent="0.25">
      <c r="A66" s="69"/>
      <c r="B66" s="100"/>
      <c r="C66" s="69"/>
      <c r="D66" s="69"/>
    </row>
    <row r="67" spans="1:4" ht="13.2" x14ac:dyDescent="0.25">
      <c r="A67" s="69"/>
      <c r="B67" s="100"/>
      <c r="C67" s="69"/>
      <c r="D67" s="69"/>
    </row>
    <row r="68" spans="1:4" ht="13.2" x14ac:dyDescent="0.25">
      <c r="A68" s="69"/>
      <c r="B68" s="100"/>
      <c r="C68" s="69"/>
      <c r="D68" s="69"/>
    </row>
    <row r="69" spans="1:4" ht="13.2" x14ac:dyDescent="0.25">
      <c r="A69" s="69"/>
      <c r="B69" s="100"/>
      <c r="C69" s="69"/>
      <c r="D69" s="69"/>
    </row>
  </sheetData>
  <dataConsolidate/>
  <mergeCells count="8">
    <mergeCell ref="B1:D1"/>
    <mergeCell ref="A8:D8"/>
    <mergeCell ref="A2:D2"/>
    <mergeCell ref="A7:D7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"/>
  <sheetViews>
    <sheetView workbookViewId="0">
      <pane xSplit="1" topLeftCell="J1" activePane="topRight" state="frozen"/>
      <selection pane="topRight" activeCell="W11" sqref="W11"/>
    </sheetView>
  </sheetViews>
  <sheetFormatPr defaultRowHeight="13.2" x14ac:dyDescent="0.25"/>
  <cols>
    <col min="1" max="1" width="30" customWidth="1"/>
    <col min="2" max="2" width="15.33203125" customWidth="1"/>
    <col min="3" max="3" width="16.33203125" customWidth="1"/>
    <col min="4" max="8" width="15" customWidth="1"/>
    <col min="9" max="9" width="15" style="48" customWidth="1"/>
    <col min="10" max="11" width="15" customWidth="1"/>
    <col min="12" max="12" width="15" style="48" customWidth="1"/>
    <col min="13" max="13" width="15.6640625" style="48" customWidth="1"/>
    <col min="14" max="14" width="14.44140625" style="48" bestFit="1" customWidth="1"/>
    <col min="15" max="20" width="15" style="48" bestFit="1" customWidth="1"/>
    <col min="21" max="21" width="14.44140625" style="48" bestFit="1" customWidth="1"/>
    <col min="22" max="23" width="14.44140625" bestFit="1" customWidth="1"/>
    <col min="24" max="24" width="13.88671875" bestFit="1" customWidth="1"/>
  </cols>
  <sheetData>
    <row r="1" spans="1:23" x14ac:dyDescent="0.25">
      <c r="A1" t="s">
        <v>133</v>
      </c>
    </row>
    <row r="2" spans="1:23" x14ac:dyDescent="0.25">
      <c r="A2" s="37"/>
    </row>
    <row r="3" spans="1:23" x14ac:dyDescent="0.25">
      <c r="A3" s="37" t="s">
        <v>122</v>
      </c>
      <c r="B3" s="35" t="s">
        <v>90</v>
      </c>
      <c r="C3" s="35" t="s">
        <v>120</v>
      </c>
      <c r="D3" s="35" t="s">
        <v>121</v>
      </c>
      <c r="E3" s="35" t="s">
        <v>125</v>
      </c>
      <c r="F3" s="35" t="s">
        <v>161</v>
      </c>
      <c r="G3" s="35" t="s">
        <v>165</v>
      </c>
      <c r="H3" s="46" t="s">
        <v>175</v>
      </c>
      <c r="I3" s="46" t="s">
        <v>176</v>
      </c>
      <c r="J3" s="35" t="s">
        <v>186</v>
      </c>
      <c r="K3" s="204" t="s">
        <v>187</v>
      </c>
      <c r="L3" s="204" t="s">
        <v>188</v>
      </c>
      <c r="M3" s="203" t="s">
        <v>248</v>
      </c>
      <c r="N3" s="203" t="s">
        <v>249</v>
      </c>
      <c r="O3" s="203" t="s">
        <v>250</v>
      </c>
      <c r="P3" s="203" t="s">
        <v>251</v>
      </c>
      <c r="Q3" s="203" t="s">
        <v>252</v>
      </c>
      <c r="R3" s="203" t="s">
        <v>253</v>
      </c>
      <c r="S3" s="203" t="s">
        <v>254</v>
      </c>
      <c r="T3" s="203" t="s">
        <v>255</v>
      </c>
      <c r="U3" s="204" t="s">
        <v>256</v>
      </c>
      <c r="V3" s="203" t="s">
        <v>257</v>
      </c>
      <c r="W3" s="203" t="s">
        <v>264</v>
      </c>
    </row>
    <row r="4" spans="1:23" x14ac:dyDescent="0.25">
      <c r="A4" s="44" t="s">
        <v>135</v>
      </c>
      <c r="B4" s="43"/>
      <c r="C4" s="145" t="s">
        <v>177</v>
      </c>
      <c r="D4" s="43" t="s">
        <v>177</v>
      </c>
      <c r="E4" s="43"/>
      <c r="F4" s="43"/>
      <c r="G4" s="43"/>
      <c r="H4" s="43"/>
      <c r="I4" s="63" t="s">
        <v>177</v>
      </c>
      <c r="J4" s="43"/>
      <c r="K4" s="43"/>
      <c r="L4" s="63" t="s">
        <v>177</v>
      </c>
      <c r="M4" s="141"/>
      <c r="N4" s="141"/>
      <c r="O4" s="141"/>
      <c r="P4" s="141"/>
      <c r="Q4" s="141"/>
      <c r="R4" s="141"/>
      <c r="S4" s="141"/>
      <c r="T4" s="141"/>
      <c r="U4" s="142" t="s">
        <v>177</v>
      </c>
      <c r="V4" s="142" t="s">
        <v>177</v>
      </c>
      <c r="W4" s="142" t="s">
        <v>177</v>
      </c>
    </row>
    <row r="5" spans="1:23" x14ac:dyDescent="0.25">
      <c r="A5" s="56" t="s">
        <v>173</v>
      </c>
      <c r="B5" s="64">
        <f>Revenue!B85</f>
        <v>1130514694</v>
      </c>
      <c r="C5" s="64">
        <f>Revenue!B86</f>
        <v>1195958846</v>
      </c>
      <c r="D5" s="64">
        <f>Revenue!B90</f>
        <v>554561140</v>
      </c>
      <c r="E5" s="64">
        <f>Revenue!B91</f>
        <v>675578576</v>
      </c>
      <c r="F5" s="64">
        <f>Revenue!B92</f>
        <v>727822386</v>
      </c>
      <c r="G5" s="57">
        <f>Revenue!B93</f>
        <v>830495355</v>
      </c>
      <c r="H5" s="57">
        <f>Revenue!B94</f>
        <v>953787447</v>
      </c>
      <c r="I5" s="57">
        <f>Revenue!B95</f>
        <v>1156083160</v>
      </c>
      <c r="J5" s="57">
        <f>Revenue!B96</f>
        <v>1215996909</v>
      </c>
      <c r="K5" s="57">
        <f>Revenue!B97</f>
        <v>1330587674</v>
      </c>
      <c r="L5" s="138">
        <f>Revenue!B98</f>
        <v>1376945977</v>
      </c>
      <c r="M5" s="138">
        <f>Revenue!B99</f>
        <v>1483895656</v>
      </c>
      <c r="N5" s="138">
        <f>Revenue!B100</f>
        <v>1482598796</v>
      </c>
      <c r="O5" s="138">
        <f>Revenue!B101</f>
        <v>1521270974</v>
      </c>
      <c r="P5" s="138">
        <f>Revenue!B102</f>
        <v>1571663639</v>
      </c>
      <c r="Q5" s="138">
        <f>Revenue!B103</f>
        <v>1616304139</v>
      </c>
      <c r="R5" s="138">
        <f>Revenue!B104</f>
        <v>1691446612</v>
      </c>
      <c r="S5" s="138">
        <f>Revenue!B105</f>
        <v>1739968970</v>
      </c>
      <c r="T5" s="138">
        <f>Revenue!B106</f>
        <v>1789047812</v>
      </c>
      <c r="U5" s="64">
        <f>Revenue!B107</f>
        <v>1859885529</v>
      </c>
      <c r="V5" s="18">
        <f>Revenue!B108</f>
        <v>1947380582</v>
      </c>
      <c r="W5" s="18">
        <f>Revenue!B109</f>
        <v>2012730122</v>
      </c>
    </row>
    <row r="6" spans="1:23" x14ac:dyDescent="0.25">
      <c r="A6" s="56" t="s">
        <v>178</v>
      </c>
      <c r="B6" s="64">
        <v>0</v>
      </c>
      <c r="C6" s="64">
        <v>0</v>
      </c>
      <c r="D6" s="64">
        <f t="shared" ref="D6:I6" si="0">D15-D17</f>
        <v>417876569</v>
      </c>
      <c r="E6" s="64">
        <f t="shared" si="0"/>
        <v>417575860</v>
      </c>
      <c r="F6" s="64">
        <f t="shared" si="0"/>
        <v>454134768</v>
      </c>
      <c r="G6" s="64">
        <f t="shared" si="0"/>
        <v>452996781.56379998</v>
      </c>
      <c r="H6" s="64">
        <f t="shared" si="0"/>
        <v>473345275</v>
      </c>
      <c r="I6" s="64">
        <f t="shared" si="0"/>
        <v>371302036</v>
      </c>
      <c r="J6" s="64">
        <f>J15-J17</f>
        <v>363392367</v>
      </c>
      <c r="K6" s="64">
        <f>K15-K17</f>
        <v>363335002</v>
      </c>
      <c r="L6" s="139">
        <f t="shared" ref="L6:N7" si="1">L16</f>
        <v>363065989</v>
      </c>
      <c r="M6" s="139">
        <f t="shared" si="1"/>
        <v>363653009</v>
      </c>
      <c r="N6" s="139">
        <f t="shared" si="1"/>
        <v>363132443</v>
      </c>
      <c r="O6" s="139">
        <f t="shared" ref="O6:T7" si="2">O16</f>
        <v>363562542</v>
      </c>
      <c r="P6" s="139">
        <f t="shared" si="2"/>
        <v>363086707</v>
      </c>
      <c r="Q6" s="139">
        <f t="shared" si="2"/>
        <v>363639896</v>
      </c>
      <c r="R6" s="139">
        <f t="shared" si="2"/>
        <v>363563724</v>
      </c>
      <c r="S6" s="139">
        <f t="shared" si="2"/>
        <v>363318165</v>
      </c>
      <c r="T6" s="139">
        <f t="shared" si="2"/>
        <v>363109425</v>
      </c>
      <c r="U6" s="64">
        <f t="shared" ref="U6:W7" si="3">U16</f>
        <v>363398238</v>
      </c>
      <c r="V6" s="64">
        <f t="shared" si="3"/>
        <v>363398238</v>
      </c>
      <c r="W6" s="64">
        <f t="shared" si="3"/>
        <v>363398238</v>
      </c>
    </row>
    <row r="7" spans="1:23" x14ac:dyDescent="0.25">
      <c r="A7" s="56" t="s">
        <v>180</v>
      </c>
      <c r="B7" s="64">
        <f>B15</f>
        <v>70626683</v>
      </c>
      <c r="C7" s="64">
        <f>C15</f>
        <v>68804546</v>
      </c>
      <c r="D7" s="64">
        <f t="shared" ref="D7:I7" si="4">D17</f>
        <v>406822379</v>
      </c>
      <c r="E7" s="64">
        <f t="shared" si="4"/>
        <v>406437649</v>
      </c>
      <c r="F7" s="64">
        <f t="shared" si="4"/>
        <v>425833291</v>
      </c>
      <c r="G7" s="64">
        <f t="shared" si="4"/>
        <v>443160939.43620002</v>
      </c>
      <c r="H7" s="64">
        <f t="shared" si="4"/>
        <v>421126234</v>
      </c>
      <c r="I7" s="64">
        <f t="shared" si="4"/>
        <v>431626064</v>
      </c>
      <c r="J7" s="64">
        <f>J17</f>
        <v>471523216</v>
      </c>
      <c r="K7" s="64">
        <f>K17</f>
        <v>471982197</v>
      </c>
      <c r="L7" s="139">
        <f t="shared" si="1"/>
        <v>526579116</v>
      </c>
      <c r="M7" s="139">
        <f t="shared" si="1"/>
        <v>526521076</v>
      </c>
      <c r="N7" s="139">
        <f t="shared" si="1"/>
        <v>576718885</v>
      </c>
      <c r="O7" s="139">
        <f t="shared" si="2"/>
        <v>577269923</v>
      </c>
      <c r="P7" s="139">
        <f t="shared" si="2"/>
        <v>577071526</v>
      </c>
      <c r="Q7" s="139">
        <f t="shared" si="2"/>
        <v>577298892</v>
      </c>
      <c r="R7" s="139">
        <f t="shared" si="2"/>
        <v>565482161</v>
      </c>
      <c r="S7" s="139">
        <f t="shared" si="2"/>
        <v>561012111</v>
      </c>
      <c r="T7" s="139">
        <f t="shared" si="2"/>
        <v>569259030</v>
      </c>
      <c r="U7" s="64">
        <f t="shared" si="3"/>
        <v>563092784</v>
      </c>
      <c r="V7" s="64">
        <f t="shared" si="3"/>
        <v>560609535</v>
      </c>
      <c r="W7" s="64">
        <f t="shared" si="3"/>
        <v>551452784</v>
      </c>
    </row>
    <row r="8" spans="1:23" x14ac:dyDescent="0.25">
      <c r="A8" s="56" t="s">
        <v>92</v>
      </c>
      <c r="B8" s="64">
        <f>Revenue!H85</f>
        <v>56980813</v>
      </c>
      <c r="C8" s="64">
        <f>Revenue!H86</f>
        <v>58897415</v>
      </c>
      <c r="D8" s="64">
        <f>Revenue!H90</f>
        <v>45297902</v>
      </c>
      <c r="E8" s="64">
        <f>Revenue!H91</f>
        <v>53845952</v>
      </c>
      <c r="F8" s="64">
        <f>Revenue!H92</f>
        <v>57159671</v>
      </c>
      <c r="G8" s="57">
        <f>Revenue!H93</f>
        <v>54456970</v>
      </c>
      <c r="H8" s="57">
        <f>Revenue!H94</f>
        <v>66956265</v>
      </c>
      <c r="I8" s="57">
        <f>Revenue!H95</f>
        <v>68197536</v>
      </c>
      <c r="J8" s="57">
        <f>Revenue!H96</f>
        <v>79507560</v>
      </c>
      <c r="K8" s="57">
        <f>Revenue!H97</f>
        <v>89732904</v>
      </c>
      <c r="L8" s="138">
        <f>Revenue!H98</f>
        <v>96997662</v>
      </c>
      <c r="M8" s="138">
        <f>Revenue!H99</f>
        <v>89967360</v>
      </c>
      <c r="N8" s="138">
        <f>Revenue!H100</f>
        <v>93751329</v>
      </c>
      <c r="O8" s="138">
        <f>Revenue!H101</f>
        <v>96568770</v>
      </c>
      <c r="P8" s="138">
        <f>Revenue!H102</f>
        <v>89921344</v>
      </c>
      <c r="Q8" s="138">
        <f>Revenue!H103</f>
        <v>79300016</v>
      </c>
      <c r="R8" s="138">
        <f>Revenue!H104</f>
        <v>76057438</v>
      </c>
      <c r="S8" s="138">
        <f>Revenue!H105</f>
        <v>76043832</v>
      </c>
      <c r="T8" s="138">
        <f>Revenue!H106</f>
        <v>72779290</v>
      </c>
      <c r="U8" s="64">
        <f>Revenue!H107</f>
        <v>80818756</v>
      </c>
      <c r="V8" s="18">
        <f>Revenue!H108</f>
        <v>76771701</v>
      </c>
      <c r="W8" s="18">
        <f>Revenue!H109</f>
        <v>94309413</v>
      </c>
    </row>
    <row r="9" spans="1:23" x14ac:dyDescent="0.25">
      <c r="A9" s="56" t="s">
        <v>119</v>
      </c>
      <c r="B9" s="64">
        <f>Revenue!I85</f>
        <v>51940421</v>
      </c>
      <c r="C9" s="64">
        <f>Revenue!I86</f>
        <v>58224175</v>
      </c>
      <c r="D9" s="64">
        <f>Revenue!I90</f>
        <v>70510329</v>
      </c>
      <c r="E9" s="64">
        <f>Revenue!I91</f>
        <v>77364803</v>
      </c>
      <c r="F9" s="64">
        <f>Revenue!I92</f>
        <v>85931199</v>
      </c>
      <c r="G9" s="57">
        <f>Revenue!I93</f>
        <v>101903517</v>
      </c>
      <c r="H9" s="57">
        <f>Revenue!I94</f>
        <v>120502289</v>
      </c>
      <c r="I9" s="57">
        <f>Revenue!I95</f>
        <v>126742545</v>
      </c>
      <c r="J9" s="57">
        <f>Revenue!I96</f>
        <v>130584760</v>
      </c>
      <c r="K9" s="57">
        <f>Revenue!I97</f>
        <v>137549092</v>
      </c>
      <c r="L9" s="138">
        <f>Revenue!I98</f>
        <v>136515834</v>
      </c>
      <c r="M9" s="138">
        <f>Revenue!I99</f>
        <v>147318280</v>
      </c>
      <c r="N9" s="138">
        <f>Revenue!I100</f>
        <v>191213006</v>
      </c>
      <c r="O9" s="138">
        <f>Revenue!I101</f>
        <v>185345696</v>
      </c>
      <c r="P9" s="138">
        <f>Revenue!I102</f>
        <v>188426230</v>
      </c>
      <c r="Q9" s="138">
        <f>Revenue!I103</f>
        <v>164398409</v>
      </c>
      <c r="R9" s="138">
        <f>Revenue!I104</f>
        <v>162111343</v>
      </c>
      <c r="S9" s="138">
        <f>Revenue!I105</f>
        <v>166235009</v>
      </c>
      <c r="T9" s="138">
        <f>Revenue!I106</f>
        <v>173966151</v>
      </c>
      <c r="U9" s="64">
        <f>Revenue!I107</f>
        <v>173816060</v>
      </c>
      <c r="V9" s="18">
        <f>Revenue!I108</f>
        <v>169194955</v>
      </c>
      <c r="W9" s="18">
        <f>Revenue!I109</f>
        <v>165688054</v>
      </c>
    </row>
    <row r="10" spans="1:23" x14ac:dyDescent="0.25">
      <c r="A10" s="56" t="s">
        <v>171</v>
      </c>
      <c r="B10" s="64">
        <f>Revenue!C85+Revenue!D85+Revenue!E85+Revenue!K85</f>
        <v>109937980</v>
      </c>
      <c r="C10" s="64">
        <f>Revenue!C86+Revenue!D86+Revenue!E86+Revenue!K86</f>
        <v>114671423</v>
      </c>
      <c r="D10" s="64">
        <f>Revenue!C90+Revenue!K90</f>
        <v>91773326</v>
      </c>
      <c r="E10" s="64">
        <f>Revenue!C91+Revenue!K91</f>
        <v>102024232</v>
      </c>
      <c r="F10" s="64">
        <f>Revenue!C92+Revenue!K92</f>
        <v>93222727</v>
      </c>
      <c r="G10" s="57">
        <f>Revenue!C93+Revenue!K93</f>
        <v>28851103</v>
      </c>
      <c r="H10" s="57">
        <f>Revenue!C94+Revenue!K94</f>
        <v>39764459</v>
      </c>
      <c r="I10" s="57">
        <f>Revenue!C95+Revenue!K95</f>
        <v>38563474</v>
      </c>
      <c r="J10" s="57">
        <f>Revenue!C96+Revenue!K96</f>
        <v>54207771</v>
      </c>
      <c r="K10" s="57">
        <f>Revenue!C97+Revenue!K97</f>
        <v>53325991</v>
      </c>
      <c r="L10" s="138">
        <f>Revenue!C98+Revenue!K98</f>
        <v>46595395</v>
      </c>
      <c r="M10" s="140">
        <f>Revenue!C99+Revenue!K99</f>
        <v>39169871</v>
      </c>
      <c r="N10" s="138">
        <f>Revenue!C100+Revenue!K100</f>
        <v>33594615</v>
      </c>
      <c r="O10" s="138">
        <f>Revenue!C101+Revenue!K101</f>
        <v>39845149</v>
      </c>
      <c r="P10" s="138">
        <f>Revenue!C102+Revenue!K102</f>
        <v>35850964</v>
      </c>
      <c r="Q10" s="138">
        <f>Revenue!C103+Revenue!K103</f>
        <v>39821274</v>
      </c>
      <c r="R10" s="138">
        <f>Revenue!C104+Revenue!K104</f>
        <v>70571685</v>
      </c>
      <c r="S10" s="138">
        <f>Revenue!C105+Revenue!K105</f>
        <v>58097216</v>
      </c>
      <c r="T10" s="138">
        <f>Revenue!C106+Revenue!K106</f>
        <v>72558060</v>
      </c>
      <c r="U10" s="64">
        <f>Revenue!C107+Revenue!K107</f>
        <v>55363181</v>
      </c>
      <c r="V10" s="64">
        <f>Revenue!C108+Revenue!K108</f>
        <v>48756529</v>
      </c>
      <c r="W10" s="64">
        <f>Revenue!C109+Revenue!K109</f>
        <v>51904799</v>
      </c>
    </row>
    <row r="11" spans="1:23" x14ac:dyDescent="0.25">
      <c r="A11" s="56" t="s">
        <v>140</v>
      </c>
      <c r="B11" s="205">
        <f>Revenue!J85</f>
        <v>60279612</v>
      </c>
      <c r="C11" s="205">
        <f>Revenue!J86</f>
        <v>29368158</v>
      </c>
      <c r="D11" s="205">
        <f>Revenue!J90</f>
        <v>169965506</v>
      </c>
      <c r="E11" s="205">
        <f>Revenue!J91</f>
        <v>104719497</v>
      </c>
      <c r="F11" s="205">
        <f>Revenue!J92</f>
        <v>168490769</v>
      </c>
      <c r="G11" s="206">
        <f>Revenue!J93</f>
        <v>124440579</v>
      </c>
      <c r="H11" s="206">
        <f>Revenue!J94</f>
        <v>233118378</v>
      </c>
      <c r="I11" s="206">
        <f>Revenue!J95</f>
        <v>133900706</v>
      </c>
      <c r="J11" s="206">
        <f>Revenue!J96</f>
        <v>108945662</v>
      </c>
      <c r="K11" s="206">
        <f>Revenue!J97</f>
        <v>71679948</v>
      </c>
      <c r="L11" s="207">
        <f>Revenue!J98</f>
        <v>22135365</v>
      </c>
      <c r="M11" s="207">
        <f>Revenue!J99</f>
        <v>46262099</v>
      </c>
      <c r="N11" s="207">
        <f>Revenue!J100</f>
        <v>89770360</v>
      </c>
      <c r="O11" s="207">
        <f>Revenue!J101</f>
        <v>154694880</v>
      </c>
      <c r="P11" s="207">
        <f>Revenue!J102</f>
        <v>32758999</v>
      </c>
      <c r="Q11" s="207">
        <f>Revenue!J103</f>
        <v>8973589</v>
      </c>
      <c r="R11" s="207">
        <f>Revenue!J104</f>
        <v>35250037</v>
      </c>
      <c r="S11" s="207">
        <f>Revenue!J105</f>
        <v>89270876</v>
      </c>
      <c r="T11" s="207">
        <f>Revenue!J106</f>
        <v>40715816</v>
      </c>
      <c r="U11" s="207">
        <f>Revenue!J107</f>
        <v>65316584</v>
      </c>
      <c r="V11" s="207">
        <f>Revenue!J108</f>
        <v>177768482</v>
      </c>
      <c r="W11" s="207">
        <f>Revenue!J109</f>
        <v>39825856</v>
      </c>
    </row>
    <row r="12" spans="1:23" x14ac:dyDescent="0.25">
      <c r="A12" s="45" t="s">
        <v>3</v>
      </c>
      <c r="B12" s="42">
        <f>SUM(B5:B11)</f>
        <v>1480280203</v>
      </c>
      <c r="C12" s="42">
        <f>SUM(C5:C11)-C11</f>
        <v>1496556405</v>
      </c>
      <c r="D12" s="42">
        <f>SUM(D5:D11)-D11</f>
        <v>1586841645</v>
      </c>
      <c r="E12" s="42">
        <f t="shared" ref="E12:W12" si="5">SUM(E5:E11)</f>
        <v>1837546569</v>
      </c>
      <c r="F12" s="42">
        <f t="shared" si="5"/>
        <v>2012594811</v>
      </c>
      <c r="G12" s="42">
        <f t="shared" si="5"/>
        <v>2036305245</v>
      </c>
      <c r="H12" s="47">
        <f t="shared" si="5"/>
        <v>2308600347</v>
      </c>
      <c r="I12" s="47">
        <f t="shared" si="5"/>
        <v>2326415521</v>
      </c>
      <c r="J12" s="47">
        <f t="shared" si="5"/>
        <v>2424158245</v>
      </c>
      <c r="K12" s="47">
        <f t="shared" si="5"/>
        <v>2518192808</v>
      </c>
      <c r="L12" s="47">
        <f t="shared" si="5"/>
        <v>2568835338</v>
      </c>
      <c r="M12" s="47">
        <f t="shared" si="5"/>
        <v>2696787351</v>
      </c>
      <c r="N12" s="47">
        <f t="shared" si="5"/>
        <v>2830779434</v>
      </c>
      <c r="O12" s="47">
        <f t="shared" si="5"/>
        <v>2938557934</v>
      </c>
      <c r="P12" s="47">
        <f t="shared" si="5"/>
        <v>2858779409</v>
      </c>
      <c r="Q12" s="47">
        <f t="shared" si="5"/>
        <v>2849736215</v>
      </c>
      <c r="R12" s="47">
        <f t="shared" si="5"/>
        <v>2964483000</v>
      </c>
      <c r="S12" s="47">
        <f t="shared" si="5"/>
        <v>3053946179</v>
      </c>
      <c r="T12" s="47">
        <f t="shared" si="5"/>
        <v>3081435584</v>
      </c>
      <c r="U12" s="42">
        <f t="shared" si="5"/>
        <v>3161691132</v>
      </c>
      <c r="V12" s="42">
        <f t="shared" si="5"/>
        <v>3343880022</v>
      </c>
      <c r="W12" s="42">
        <f t="shared" si="5"/>
        <v>3279309266</v>
      </c>
    </row>
    <row r="13" spans="1:23" x14ac:dyDescent="0.25">
      <c r="A13" s="45" t="s">
        <v>273</v>
      </c>
      <c r="B13" s="42">
        <f t="shared" ref="B13:W13" si="6">B12-B11</f>
        <v>1420000591</v>
      </c>
      <c r="C13" s="42">
        <f t="shared" si="6"/>
        <v>1467188247</v>
      </c>
      <c r="D13" s="42">
        <f t="shared" si="6"/>
        <v>1416876139</v>
      </c>
      <c r="E13" s="42">
        <f t="shared" si="6"/>
        <v>1732827072</v>
      </c>
      <c r="F13" s="42">
        <f t="shared" si="6"/>
        <v>1844104042</v>
      </c>
      <c r="G13" s="42">
        <f t="shared" si="6"/>
        <v>1911864666</v>
      </c>
      <c r="H13" s="42">
        <f t="shared" si="6"/>
        <v>2075481969</v>
      </c>
      <c r="I13" s="42">
        <f t="shared" si="6"/>
        <v>2192514815</v>
      </c>
      <c r="J13" s="42">
        <f t="shared" si="6"/>
        <v>2315212583</v>
      </c>
      <c r="K13" s="42">
        <f t="shared" si="6"/>
        <v>2446512860</v>
      </c>
      <c r="L13" s="42">
        <f t="shared" si="6"/>
        <v>2546699973</v>
      </c>
      <c r="M13" s="42">
        <f t="shared" si="6"/>
        <v>2650525252</v>
      </c>
      <c r="N13" s="42">
        <f t="shared" si="6"/>
        <v>2741009074</v>
      </c>
      <c r="O13" s="42">
        <f t="shared" si="6"/>
        <v>2783863054</v>
      </c>
      <c r="P13" s="42">
        <f t="shared" si="6"/>
        <v>2826020410</v>
      </c>
      <c r="Q13" s="42">
        <f t="shared" si="6"/>
        <v>2840762626</v>
      </c>
      <c r="R13" s="42">
        <f t="shared" si="6"/>
        <v>2929232963</v>
      </c>
      <c r="S13" s="42">
        <f t="shared" si="6"/>
        <v>2964675303</v>
      </c>
      <c r="T13" s="42">
        <f t="shared" si="6"/>
        <v>3040719768</v>
      </c>
      <c r="U13" s="42">
        <f t="shared" si="6"/>
        <v>3096374548</v>
      </c>
      <c r="V13" s="42">
        <f t="shared" si="6"/>
        <v>3166111540</v>
      </c>
      <c r="W13" s="42">
        <f t="shared" si="6"/>
        <v>3239483410</v>
      </c>
    </row>
    <row r="15" spans="1:23" x14ac:dyDescent="0.25">
      <c r="A15" t="s">
        <v>180</v>
      </c>
      <c r="B15" s="29">
        <f>Revenue!F85</f>
        <v>70626683</v>
      </c>
      <c r="C15" s="29">
        <f>Revenue!F86</f>
        <v>68804546</v>
      </c>
      <c r="D15" s="29">
        <f>Revenue!F90</f>
        <v>824698948</v>
      </c>
      <c r="E15" s="29">
        <f>Revenue!F91</f>
        <v>824013509</v>
      </c>
      <c r="F15" s="29">
        <f>Revenue!F92</f>
        <v>879968059</v>
      </c>
      <c r="G15" s="29">
        <f>Revenue!F93</f>
        <v>896157721</v>
      </c>
      <c r="H15" s="29">
        <f>Revenue!F94</f>
        <v>894471509</v>
      </c>
      <c r="I15" s="29">
        <f>Revenue!F95</f>
        <v>802928100</v>
      </c>
      <c r="J15" s="29">
        <f>Revenue!F96</f>
        <v>834915583</v>
      </c>
      <c r="K15" s="29">
        <f>Revenue!F97</f>
        <v>835317199</v>
      </c>
      <c r="L15" s="29">
        <f>Revenue!F98</f>
        <v>889645105</v>
      </c>
      <c r="M15" s="103">
        <f>Revenue!F99</f>
        <v>890174085</v>
      </c>
      <c r="N15" s="51">
        <f>Revenue!F100</f>
        <v>939851328</v>
      </c>
      <c r="O15" s="51">
        <f>Revenue!F101</f>
        <v>940832465</v>
      </c>
      <c r="P15" s="51">
        <f>Revenue!F102</f>
        <v>940158233</v>
      </c>
      <c r="Q15" s="51">
        <f>Revenue!F103</f>
        <v>940938788</v>
      </c>
      <c r="R15" s="51">
        <f>Revenue!F104</f>
        <v>929045885</v>
      </c>
      <c r="S15" s="51">
        <f>Revenue!F105</f>
        <v>924330276</v>
      </c>
      <c r="T15" s="51">
        <f>Revenue!F106</f>
        <v>932368455</v>
      </c>
      <c r="U15" s="51">
        <f>Revenue!F107</f>
        <v>926491022</v>
      </c>
      <c r="V15" s="18">
        <f>Revenue!F108</f>
        <v>924007773</v>
      </c>
      <c r="W15" s="18">
        <f>Revenue!F109</f>
        <v>914851022</v>
      </c>
    </row>
    <row r="16" spans="1:23" x14ac:dyDescent="0.25">
      <c r="A16" t="s">
        <v>189</v>
      </c>
      <c r="B16" s="29"/>
      <c r="C16" s="29"/>
      <c r="D16" s="29">
        <f>Revenue!O90</f>
        <v>417876569</v>
      </c>
      <c r="E16" s="29">
        <f>Revenue!O91</f>
        <v>417575860</v>
      </c>
      <c r="F16" s="29">
        <f>Revenue!O92</f>
        <v>454134768</v>
      </c>
      <c r="G16" s="29">
        <f>Revenue!O93</f>
        <v>452996781.56379998</v>
      </c>
      <c r="H16" s="29">
        <f>Revenue!O94</f>
        <v>473345275</v>
      </c>
      <c r="I16" s="29">
        <f>Revenue!O95</f>
        <v>371302036</v>
      </c>
      <c r="J16" s="29">
        <f>Revenue!O96</f>
        <v>363392367</v>
      </c>
      <c r="K16" s="29">
        <f>Revenue!O97</f>
        <v>363335002</v>
      </c>
      <c r="L16" s="29">
        <f>Revenue!O98</f>
        <v>363065989</v>
      </c>
      <c r="M16" s="51">
        <f>Revenue!O99</f>
        <v>363653009</v>
      </c>
      <c r="N16" s="51">
        <f>Revenue!O100</f>
        <v>363132443</v>
      </c>
      <c r="O16" s="51">
        <f>Revenue!O101</f>
        <v>363562542</v>
      </c>
      <c r="P16" s="51">
        <f>Revenue!O102</f>
        <v>363086707</v>
      </c>
      <c r="Q16" s="51">
        <f>Revenue!O103</f>
        <v>363639896</v>
      </c>
      <c r="R16" s="51">
        <f>Revenue!O104</f>
        <v>363563724</v>
      </c>
      <c r="S16" s="51">
        <f>Revenue!O105</f>
        <v>363318165</v>
      </c>
      <c r="T16" s="51">
        <f>Revenue!O106</f>
        <v>363109425</v>
      </c>
      <c r="U16" s="51">
        <f>Revenue!O107</f>
        <v>363398238</v>
      </c>
      <c r="V16" s="29">
        <f>Revenue!O108</f>
        <v>363398238</v>
      </c>
      <c r="W16" s="29">
        <f>Revenue!O109</f>
        <v>363398238</v>
      </c>
    </row>
    <row r="17" spans="1:23" x14ac:dyDescent="0.25">
      <c r="A17" t="s">
        <v>179</v>
      </c>
      <c r="B17" s="29"/>
      <c r="C17" s="29"/>
      <c r="D17" s="29">
        <f>D15-D16</f>
        <v>406822379</v>
      </c>
      <c r="E17" s="29">
        <f t="shared" ref="E17:W17" si="7">E15-E16</f>
        <v>406437649</v>
      </c>
      <c r="F17" s="29">
        <f t="shared" si="7"/>
        <v>425833291</v>
      </c>
      <c r="G17" s="29">
        <f t="shared" si="7"/>
        <v>443160939.43620002</v>
      </c>
      <c r="H17" s="29">
        <f t="shared" si="7"/>
        <v>421126234</v>
      </c>
      <c r="I17" s="29">
        <f t="shared" si="7"/>
        <v>431626064</v>
      </c>
      <c r="J17" s="29">
        <f t="shared" si="7"/>
        <v>471523216</v>
      </c>
      <c r="K17" s="29">
        <f t="shared" si="7"/>
        <v>471982197</v>
      </c>
      <c r="L17" s="29">
        <f t="shared" si="7"/>
        <v>526579116</v>
      </c>
      <c r="M17" s="29">
        <f t="shared" si="7"/>
        <v>526521076</v>
      </c>
      <c r="N17" s="29">
        <f t="shared" si="7"/>
        <v>576718885</v>
      </c>
      <c r="O17" s="29">
        <f t="shared" si="7"/>
        <v>577269923</v>
      </c>
      <c r="P17" s="29">
        <f t="shared" si="7"/>
        <v>577071526</v>
      </c>
      <c r="Q17" s="29">
        <f t="shared" si="7"/>
        <v>577298892</v>
      </c>
      <c r="R17" s="29">
        <f t="shared" si="7"/>
        <v>565482161</v>
      </c>
      <c r="S17" s="29">
        <f t="shared" si="7"/>
        <v>561012111</v>
      </c>
      <c r="T17" s="29">
        <f t="shared" si="7"/>
        <v>569259030</v>
      </c>
      <c r="U17" s="29">
        <f t="shared" si="7"/>
        <v>563092784</v>
      </c>
      <c r="V17" s="29">
        <f t="shared" si="7"/>
        <v>560609535</v>
      </c>
      <c r="W17" s="29">
        <f t="shared" si="7"/>
        <v>551452784</v>
      </c>
    </row>
    <row r="18" spans="1:23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</sheetData>
  <printOptions gridLines="1"/>
  <pageMargins left="0.7" right="0.7" top="0.25" bottom="0.2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G117"/>
  <sheetViews>
    <sheetView showOutlineSymbols="0" workbookViewId="0">
      <pane xSplit="1" ySplit="4" topLeftCell="B89" activePane="bottomRight" state="frozenSplit"/>
      <selection activeCell="B4" sqref="B4"/>
      <selection pane="topRight"/>
      <selection pane="bottomLeft"/>
      <selection pane="bottomRight" activeCell="A117" sqref="A117"/>
    </sheetView>
  </sheetViews>
  <sheetFormatPr defaultColWidth="9.109375" defaultRowHeight="13.2" x14ac:dyDescent="0.25"/>
  <cols>
    <col min="1" max="1" width="9.109375" style="1"/>
    <col min="2" max="2" width="16.109375" style="2" customWidth="1"/>
    <col min="3" max="3" width="15.44140625" style="2" customWidth="1"/>
    <col min="4" max="4" width="17.44140625" style="2" customWidth="1"/>
    <col min="5" max="5" width="13.88671875" style="2" bestFit="1" customWidth="1"/>
    <col min="6" max="6" width="14.33203125" style="2" customWidth="1"/>
    <col min="7" max="7" width="12.33203125" style="2" customWidth="1"/>
    <col min="8" max="8" width="14" style="2" customWidth="1"/>
    <col min="9" max="9" width="13" style="2" customWidth="1"/>
    <col min="10" max="10" width="13.44140625" style="2" customWidth="1"/>
    <col min="11" max="11" width="14.109375" style="2" customWidth="1"/>
    <col min="12" max="12" width="13.33203125" style="2" customWidth="1"/>
    <col min="13" max="13" width="12.33203125" style="2" customWidth="1"/>
    <col min="14" max="14" width="13.88671875" style="2" customWidth="1"/>
    <col min="15" max="15" width="13.33203125" style="2" customWidth="1"/>
    <col min="16" max="16" width="12.33203125" style="2" customWidth="1"/>
    <col min="17" max="17" width="16.109375" style="2" customWidth="1"/>
    <col min="18" max="18" width="15.109375" style="2" customWidth="1"/>
    <col min="19" max="19" width="13.33203125" style="2" customWidth="1"/>
    <col min="20" max="20" width="17.109375" style="2" customWidth="1"/>
    <col min="21" max="22" width="16.88671875" style="2" customWidth="1"/>
    <col min="23" max="23" width="11.5546875" style="1" customWidth="1"/>
    <col min="24" max="24" width="9.109375" style="1"/>
    <col min="25" max="25" width="9.109375" style="3"/>
    <col min="26" max="26" width="9.109375" style="1"/>
    <col min="27" max="27" width="16.44140625" style="1" bestFit="1" customWidth="1"/>
    <col min="28" max="28" width="13.88671875" style="1" bestFit="1" customWidth="1"/>
    <col min="29" max="29" width="20.5546875" style="193" customWidth="1"/>
    <col min="30" max="30" width="12" style="1" customWidth="1"/>
    <col min="31" max="32" width="9.109375" style="1"/>
    <col min="33" max="33" width="12.109375" style="1" bestFit="1" customWidth="1"/>
    <col min="34" max="16384" width="9.109375" style="1"/>
  </cols>
  <sheetData>
    <row r="1" spans="1:29" x14ac:dyDescent="0.25">
      <c r="A1" s="1" t="s">
        <v>93</v>
      </c>
    </row>
    <row r="2" spans="1:29" x14ac:dyDescent="0.25">
      <c r="A2" s="1" t="s">
        <v>115</v>
      </c>
    </row>
    <row r="3" spans="1:29" x14ac:dyDescent="0.25">
      <c r="A3" s="25" t="s">
        <v>126</v>
      </c>
      <c r="AC3" s="193" t="s">
        <v>258</v>
      </c>
    </row>
    <row r="4" spans="1:29" s="7" customFormat="1" ht="66" x14ac:dyDescent="0.25">
      <c r="A4" s="7" t="s">
        <v>1</v>
      </c>
      <c r="B4" s="8" t="s">
        <v>94</v>
      </c>
      <c r="C4" s="8" t="s">
        <v>130</v>
      </c>
      <c r="D4" s="8" t="s">
        <v>131</v>
      </c>
      <c r="E4" s="8" t="s">
        <v>95</v>
      </c>
      <c r="F4" s="8" t="s">
        <v>96</v>
      </c>
      <c r="G4" s="8" t="s">
        <v>97</v>
      </c>
      <c r="H4" s="8" t="s">
        <v>162</v>
      </c>
      <c r="I4" s="8" t="s">
        <v>98</v>
      </c>
      <c r="J4" s="8" t="s">
        <v>99</v>
      </c>
      <c r="K4" s="8" t="s">
        <v>100</v>
      </c>
      <c r="L4" s="8" t="s">
        <v>101</v>
      </c>
      <c r="M4" s="8" t="s">
        <v>102</v>
      </c>
      <c r="N4" s="8" t="s">
        <v>103</v>
      </c>
      <c r="O4" s="8" t="s">
        <v>104</v>
      </c>
      <c r="P4" s="8" t="s">
        <v>105</v>
      </c>
      <c r="Q4" s="8" t="s">
        <v>106</v>
      </c>
      <c r="R4" s="8" t="s">
        <v>107</v>
      </c>
      <c r="S4" s="8" t="s">
        <v>108</v>
      </c>
      <c r="T4" s="8" t="s">
        <v>109</v>
      </c>
      <c r="U4" s="8" t="s">
        <v>110</v>
      </c>
      <c r="V4" s="8"/>
      <c r="W4" s="7" t="s">
        <v>184</v>
      </c>
      <c r="X4" s="7" t="s">
        <v>7</v>
      </c>
      <c r="Y4" s="66" t="s">
        <v>185</v>
      </c>
      <c r="Z4" s="7" t="s">
        <v>123</v>
      </c>
      <c r="AA4" s="7" t="s">
        <v>124</v>
      </c>
      <c r="AC4" s="201" t="s">
        <v>127</v>
      </c>
    </row>
    <row r="5" spans="1:29" x14ac:dyDescent="0.25">
      <c r="A5" s="1" t="s">
        <v>8</v>
      </c>
      <c r="B5" s="2">
        <f>1269914+55552+52378+88187</f>
        <v>1466031</v>
      </c>
      <c r="D5" s="2">
        <v>0</v>
      </c>
      <c r="F5" s="2">
        <v>70234</v>
      </c>
      <c r="I5" s="2">
        <v>0</v>
      </c>
      <c r="J5" s="2">
        <v>0</v>
      </c>
      <c r="K5" s="2">
        <f>128103+100778</f>
        <v>228881</v>
      </c>
      <c r="N5" s="2">
        <v>90015</v>
      </c>
      <c r="O5" s="2">
        <v>0</v>
      </c>
      <c r="Q5" s="2">
        <v>0</v>
      </c>
      <c r="R5" s="2">
        <v>109553</v>
      </c>
      <c r="S5" s="2">
        <v>91441</v>
      </c>
      <c r="T5" s="2">
        <f t="shared" ref="T5:T33" si="0">SUM(B5:S5)</f>
        <v>2056155</v>
      </c>
      <c r="U5" s="2">
        <v>2285406</v>
      </c>
      <c r="X5" s="4">
        <v>10.9</v>
      </c>
    </row>
    <row r="6" spans="1:29" x14ac:dyDescent="0.25">
      <c r="A6" s="1" t="s">
        <v>9</v>
      </c>
      <c r="T6" s="2">
        <v>0</v>
      </c>
      <c r="X6" s="4">
        <v>12.8</v>
      </c>
      <c r="AB6" s="2"/>
    </row>
    <row r="7" spans="1:29" x14ac:dyDescent="0.25">
      <c r="A7" s="1" t="s">
        <v>10</v>
      </c>
      <c r="B7" s="2">
        <f>1713375+64118+98533+129018</f>
        <v>2005044</v>
      </c>
      <c r="D7" s="2">
        <v>0</v>
      </c>
      <c r="F7" s="2">
        <v>114935</v>
      </c>
      <c r="I7" s="2">
        <v>0</v>
      </c>
      <c r="J7" s="2">
        <v>0</v>
      </c>
      <c r="K7" s="2">
        <f>143589+236115</f>
        <v>379704</v>
      </c>
      <c r="N7" s="2">
        <v>144366</v>
      </c>
      <c r="O7" s="2">
        <v>0</v>
      </c>
      <c r="Q7" s="2">
        <v>0</v>
      </c>
      <c r="R7" s="2">
        <v>112072</v>
      </c>
      <c r="S7" s="2">
        <v>195868</v>
      </c>
      <c r="T7" s="2">
        <f t="shared" si="0"/>
        <v>2951989</v>
      </c>
      <c r="U7" s="2">
        <v>3248708</v>
      </c>
      <c r="X7" s="4">
        <v>15.1</v>
      </c>
      <c r="AB7" s="2"/>
    </row>
    <row r="8" spans="1:29" x14ac:dyDescent="0.25">
      <c r="A8" s="1" t="s">
        <v>11</v>
      </c>
      <c r="T8" s="2">
        <v>0</v>
      </c>
      <c r="X8" s="4">
        <v>17.3</v>
      </c>
      <c r="AB8" s="2"/>
    </row>
    <row r="9" spans="1:29" x14ac:dyDescent="0.25">
      <c r="A9" s="1" t="s">
        <v>12</v>
      </c>
      <c r="B9" s="2">
        <f>2305820+116658+60475</f>
        <v>2482953</v>
      </c>
      <c r="D9" s="2">
        <v>21414</v>
      </c>
      <c r="F9" s="2">
        <f>30599+140326</f>
        <v>170925</v>
      </c>
      <c r="I9" s="2">
        <f>113549+140326-I7</f>
        <v>253875</v>
      </c>
      <c r="J9" s="2">
        <v>0</v>
      </c>
      <c r="K9" s="2">
        <f>519284+24798</f>
        <v>544082</v>
      </c>
      <c r="N9" s="2">
        <v>195127</v>
      </c>
      <c r="O9" s="2">
        <v>0</v>
      </c>
      <c r="Q9" s="2">
        <v>9522</v>
      </c>
      <c r="R9" s="2">
        <v>182501</v>
      </c>
      <c r="S9" s="2">
        <f>410928-140326</f>
        <v>270602</v>
      </c>
      <c r="T9" s="2">
        <f t="shared" si="0"/>
        <v>4131001</v>
      </c>
      <c r="U9" s="2">
        <v>3960076</v>
      </c>
      <c r="X9" s="4">
        <v>20</v>
      </c>
      <c r="AB9" s="2"/>
    </row>
    <row r="10" spans="1:29" x14ac:dyDescent="0.25">
      <c r="A10" s="1" t="s">
        <v>13</v>
      </c>
      <c r="B10" s="2">
        <v>2895466</v>
      </c>
      <c r="I10" s="2">
        <v>121164</v>
      </c>
      <c r="K10" s="2">
        <v>643340</v>
      </c>
      <c r="L10" s="2">
        <v>22397</v>
      </c>
      <c r="M10" s="2">
        <v>515510</v>
      </c>
      <c r="R10" s="2">
        <v>206816</v>
      </c>
      <c r="S10" s="2">
        <v>382563</v>
      </c>
      <c r="T10" s="2">
        <f t="shared" si="0"/>
        <v>4787256</v>
      </c>
      <c r="X10" s="4">
        <v>17.899999999999999</v>
      </c>
      <c r="AB10" s="2"/>
    </row>
    <row r="11" spans="1:29" x14ac:dyDescent="0.25">
      <c r="A11" s="1" t="s">
        <v>14</v>
      </c>
      <c r="B11" s="2">
        <v>3060648</v>
      </c>
      <c r="I11" s="2">
        <v>158887</v>
      </c>
      <c r="K11" s="2">
        <v>645056</v>
      </c>
      <c r="L11" s="2">
        <v>28217</v>
      </c>
      <c r="M11" s="2">
        <v>569661</v>
      </c>
      <c r="R11" s="2">
        <v>299355</v>
      </c>
      <c r="S11" s="2">
        <v>427317</v>
      </c>
      <c r="T11" s="2">
        <f t="shared" si="0"/>
        <v>5189141</v>
      </c>
      <c r="X11" s="4">
        <v>16.8</v>
      </c>
      <c r="AB11" s="2"/>
    </row>
    <row r="12" spans="1:29" x14ac:dyDescent="0.25">
      <c r="A12" s="1" t="s">
        <v>15</v>
      </c>
      <c r="B12" s="2">
        <v>3234880</v>
      </c>
      <c r="I12" s="2">
        <v>172604</v>
      </c>
      <c r="K12" s="2">
        <v>691582</v>
      </c>
      <c r="L12" s="2">
        <v>38107</v>
      </c>
      <c r="M12" s="2">
        <v>569863</v>
      </c>
      <c r="R12" s="2">
        <v>366944</v>
      </c>
      <c r="S12" s="2">
        <v>464142</v>
      </c>
      <c r="T12" s="2">
        <f t="shared" si="0"/>
        <v>5538122</v>
      </c>
      <c r="X12" s="4">
        <v>17.100000000000001</v>
      </c>
      <c r="AB12" s="2"/>
    </row>
    <row r="13" spans="1:29" ht="12" customHeight="1" x14ac:dyDescent="0.25">
      <c r="A13" s="1" t="s">
        <v>16</v>
      </c>
      <c r="B13" s="2">
        <v>3445654</v>
      </c>
      <c r="I13" s="2">
        <v>186901</v>
      </c>
      <c r="K13" s="2">
        <v>765168</v>
      </c>
      <c r="L13" s="2">
        <v>36096</v>
      </c>
      <c r="M13" s="2">
        <v>625294</v>
      </c>
      <c r="R13" s="2">
        <v>514660</v>
      </c>
      <c r="S13" s="2">
        <v>758741</v>
      </c>
      <c r="T13" s="2">
        <f t="shared" si="0"/>
        <v>6332514</v>
      </c>
      <c r="X13" s="4">
        <v>17.100000000000001</v>
      </c>
      <c r="AB13" s="2"/>
    </row>
    <row r="14" spans="1:29" x14ac:dyDescent="0.25">
      <c r="A14" s="1" t="s">
        <v>17</v>
      </c>
      <c r="T14" s="2">
        <v>0</v>
      </c>
      <c r="X14" s="4">
        <v>17.5</v>
      </c>
      <c r="AB14" s="2"/>
    </row>
    <row r="15" spans="1:29" x14ac:dyDescent="0.25">
      <c r="A15" s="1" t="s">
        <v>18</v>
      </c>
      <c r="T15" s="2">
        <v>0</v>
      </c>
      <c r="X15" s="4">
        <v>17.7</v>
      </c>
      <c r="AB15" s="2"/>
    </row>
    <row r="16" spans="1:29" x14ac:dyDescent="0.25">
      <c r="A16" s="1" t="s">
        <v>19</v>
      </c>
      <c r="T16" s="2">
        <v>0</v>
      </c>
      <c r="X16" s="4">
        <v>17.399999999999999</v>
      </c>
      <c r="AB16" s="2"/>
    </row>
    <row r="17" spans="1:28" x14ac:dyDescent="0.25">
      <c r="A17" s="1" t="s">
        <v>20</v>
      </c>
      <c r="T17" s="2">
        <v>0</v>
      </c>
      <c r="X17" s="4">
        <v>17.100000000000001</v>
      </c>
      <c r="AB17" s="2"/>
    </row>
    <row r="18" spans="1:28" x14ac:dyDescent="0.25">
      <c r="A18" s="1" t="s">
        <v>21</v>
      </c>
      <c r="T18" s="2">
        <v>0</v>
      </c>
      <c r="X18" s="4">
        <v>17.100000000000001</v>
      </c>
      <c r="AB18" s="2"/>
    </row>
    <row r="19" spans="1:28" x14ac:dyDescent="0.25">
      <c r="A19" s="1" t="s">
        <v>22</v>
      </c>
      <c r="T19" s="2">
        <v>0</v>
      </c>
      <c r="X19" s="4">
        <v>16.7</v>
      </c>
      <c r="AB19" s="2"/>
    </row>
    <row r="20" spans="1:28" x14ac:dyDescent="0.25">
      <c r="A20" s="1" t="s">
        <v>23</v>
      </c>
      <c r="T20" s="2">
        <v>0</v>
      </c>
      <c r="X20" s="4">
        <v>15.2</v>
      </c>
      <c r="AB20" s="2"/>
    </row>
    <row r="21" spans="1:28" x14ac:dyDescent="0.25">
      <c r="A21" s="1" t="s">
        <v>24</v>
      </c>
      <c r="T21" s="2">
        <v>0</v>
      </c>
      <c r="X21" s="4">
        <v>13.7</v>
      </c>
      <c r="AB21" s="2"/>
    </row>
    <row r="22" spans="1:28" x14ac:dyDescent="0.25">
      <c r="A22" s="1" t="s">
        <v>25</v>
      </c>
      <c r="T22" s="2">
        <v>0</v>
      </c>
      <c r="X22" s="4">
        <v>13</v>
      </c>
      <c r="AB22" s="2"/>
    </row>
    <row r="23" spans="1:28" x14ac:dyDescent="0.25">
      <c r="A23" s="1" t="s">
        <v>26</v>
      </c>
      <c r="T23" s="2">
        <v>0</v>
      </c>
      <c r="X23" s="4">
        <v>13.4</v>
      </c>
      <c r="AB23" s="2"/>
    </row>
    <row r="24" spans="1:28" x14ac:dyDescent="0.25">
      <c r="A24" s="1" t="s">
        <v>27</v>
      </c>
      <c r="T24" s="2">
        <v>0</v>
      </c>
      <c r="X24" s="4">
        <v>13.7</v>
      </c>
      <c r="AB24" s="2"/>
    </row>
    <row r="25" spans="1:28" x14ac:dyDescent="0.25">
      <c r="A25" s="1" t="s">
        <v>28</v>
      </c>
      <c r="T25" s="2">
        <v>0</v>
      </c>
      <c r="X25" s="4">
        <v>13.9</v>
      </c>
      <c r="AB25" s="2"/>
    </row>
    <row r="26" spans="1:28" x14ac:dyDescent="0.25">
      <c r="A26" s="1" t="s">
        <v>29</v>
      </c>
      <c r="B26" s="2">
        <v>3922608</v>
      </c>
      <c r="I26" s="2">
        <v>227305</v>
      </c>
      <c r="K26" s="2">
        <v>771080</v>
      </c>
      <c r="L26" s="2">
        <v>229101</v>
      </c>
      <c r="M26" s="2">
        <v>1013478</v>
      </c>
      <c r="R26" s="2">
        <v>529203</v>
      </c>
      <c r="S26" s="2">
        <v>772864</v>
      </c>
      <c r="T26" s="2">
        <f t="shared" si="0"/>
        <v>7465639</v>
      </c>
      <c r="X26" s="4">
        <v>14.4</v>
      </c>
      <c r="AB26" s="2"/>
    </row>
    <row r="27" spans="1:28" x14ac:dyDescent="0.25">
      <c r="A27" s="1" t="s">
        <v>30</v>
      </c>
      <c r="B27" s="2">
        <v>4012177</v>
      </c>
      <c r="I27" s="2">
        <v>232885</v>
      </c>
      <c r="K27" s="2">
        <v>798347</v>
      </c>
      <c r="L27" s="2">
        <v>221927</v>
      </c>
      <c r="M27" s="2">
        <v>1080486</v>
      </c>
      <c r="R27" s="2">
        <v>497534</v>
      </c>
      <c r="S27" s="2">
        <v>725222</v>
      </c>
      <c r="T27" s="2">
        <f t="shared" si="0"/>
        <v>7568578</v>
      </c>
      <c r="X27" s="4">
        <v>14.1</v>
      </c>
      <c r="AB27" s="2"/>
    </row>
    <row r="28" spans="1:28" x14ac:dyDescent="0.25">
      <c r="A28" s="1" t="s">
        <v>31</v>
      </c>
      <c r="B28" s="2">
        <v>4020290</v>
      </c>
      <c r="I28" s="2">
        <v>232425</v>
      </c>
      <c r="K28" s="2">
        <v>787807</v>
      </c>
      <c r="L28" s="2">
        <v>227890</v>
      </c>
      <c r="M28" s="2">
        <v>1110539</v>
      </c>
      <c r="R28" s="2">
        <v>1474099</v>
      </c>
      <c r="S28" s="2">
        <v>694592</v>
      </c>
      <c r="T28" s="2">
        <f t="shared" si="0"/>
        <v>8547642</v>
      </c>
      <c r="X28" s="4">
        <v>13.9</v>
      </c>
      <c r="AB28" s="2"/>
    </row>
    <row r="29" spans="1:28" x14ac:dyDescent="0.25">
      <c r="A29" s="1" t="s">
        <v>32</v>
      </c>
      <c r="B29" s="2">
        <v>4081677</v>
      </c>
      <c r="I29" s="2">
        <v>237489</v>
      </c>
      <c r="K29" s="2">
        <v>827474</v>
      </c>
      <c r="L29" s="2">
        <v>234539</v>
      </c>
      <c r="M29" s="2">
        <v>1122070</v>
      </c>
      <c r="R29" s="2">
        <v>1479544</v>
      </c>
      <c r="S29" s="2">
        <v>718900</v>
      </c>
      <c r="T29" s="2">
        <f t="shared" si="0"/>
        <v>8701693</v>
      </c>
      <c r="X29" s="4">
        <v>14</v>
      </c>
      <c r="AB29" s="27">
        <v>9.7000000000000003E-2</v>
      </c>
    </row>
    <row r="30" spans="1:28" x14ac:dyDescent="0.25">
      <c r="A30" s="1" t="s">
        <v>33</v>
      </c>
      <c r="B30" s="2">
        <v>4119071</v>
      </c>
      <c r="I30" s="2">
        <v>237737</v>
      </c>
      <c r="K30" s="2">
        <v>841352</v>
      </c>
      <c r="L30" s="2">
        <v>239123</v>
      </c>
      <c r="M30" s="2">
        <v>1138308</v>
      </c>
      <c r="R30" s="2">
        <v>420397</v>
      </c>
      <c r="S30" s="2">
        <v>739307</v>
      </c>
      <c r="T30" s="2">
        <f t="shared" si="0"/>
        <v>7735295</v>
      </c>
      <c r="X30" s="4">
        <v>14.7</v>
      </c>
      <c r="AB30" s="2"/>
    </row>
    <row r="31" spans="1:28" x14ac:dyDescent="0.25">
      <c r="A31" s="1" t="s">
        <v>34</v>
      </c>
      <c r="B31" s="2">
        <v>4203088</v>
      </c>
      <c r="I31" s="2">
        <v>244582</v>
      </c>
      <c r="K31" s="2">
        <v>910090</v>
      </c>
      <c r="L31" s="2">
        <v>238115</v>
      </c>
      <c r="M31" s="2">
        <v>1146567</v>
      </c>
      <c r="R31" s="2">
        <v>429345</v>
      </c>
      <c r="S31" s="2">
        <v>684586</v>
      </c>
      <c r="T31" s="2">
        <f t="shared" si="0"/>
        <v>7856373</v>
      </c>
      <c r="X31" s="4">
        <v>16.3</v>
      </c>
      <c r="AB31" s="2">
        <f>T31</f>
        <v>7856373</v>
      </c>
    </row>
    <row r="32" spans="1:28" x14ac:dyDescent="0.25">
      <c r="A32" s="1" t="s">
        <v>35</v>
      </c>
      <c r="B32" s="2">
        <v>4344303</v>
      </c>
      <c r="I32" s="2">
        <v>257136</v>
      </c>
      <c r="K32" s="2">
        <v>884683</v>
      </c>
      <c r="L32" s="2">
        <v>238325</v>
      </c>
      <c r="M32" s="2">
        <v>1151973</v>
      </c>
      <c r="R32" s="2">
        <v>138659</v>
      </c>
      <c r="S32" s="2">
        <v>635555</v>
      </c>
      <c r="T32" s="2">
        <f t="shared" si="0"/>
        <v>7650634</v>
      </c>
      <c r="X32" s="4">
        <v>17.3</v>
      </c>
      <c r="AB32" s="2">
        <f t="shared" ref="AB32:AB63" si="1">AB31*(1+AB$29)</f>
        <v>8618441.1809999999</v>
      </c>
    </row>
    <row r="33" spans="1:28" x14ac:dyDescent="0.25">
      <c r="A33" s="1" t="s">
        <v>36</v>
      </c>
      <c r="B33" s="2">
        <v>4376193</v>
      </c>
      <c r="I33" s="2">
        <v>266125</v>
      </c>
      <c r="K33" s="2">
        <v>968622</v>
      </c>
      <c r="L33" s="2">
        <v>244820</v>
      </c>
      <c r="M33" s="2">
        <v>1178382</v>
      </c>
      <c r="R33" s="2">
        <v>90509</v>
      </c>
      <c r="S33" s="2">
        <v>581400</v>
      </c>
      <c r="T33" s="2">
        <f t="shared" si="0"/>
        <v>7706051</v>
      </c>
      <c r="X33" s="4">
        <v>17.600000000000001</v>
      </c>
      <c r="AB33" s="2">
        <f t="shared" si="1"/>
        <v>9454429.9755569994</v>
      </c>
    </row>
    <row r="34" spans="1:28" x14ac:dyDescent="0.25">
      <c r="A34" s="1" t="s">
        <v>37</v>
      </c>
      <c r="T34" s="2">
        <v>0</v>
      </c>
      <c r="X34" s="4">
        <v>18</v>
      </c>
      <c r="AB34" s="2">
        <f t="shared" si="1"/>
        <v>10371509.683186028</v>
      </c>
    </row>
    <row r="35" spans="1:28" x14ac:dyDescent="0.25">
      <c r="A35" s="1" t="s">
        <v>38</v>
      </c>
      <c r="B35" s="2">
        <v>5117287</v>
      </c>
      <c r="I35" s="2">
        <v>453340</v>
      </c>
      <c r="K35" s="2">
        <v>1096808</v>
      </c>
      <c r="L35" s="2">
        <v>112163</v>
      </c>
      <c r="M35" s="2">
        <v>1306319</v>
      </c>
      <c r="R35" s="2">
        <v>216760</v>
      </c>
      <c r="S35" s="2">
        <v>398699</v>
      </c>
      <c r="T35" s="2">
        <f>SUM(B35:S35)</f>
        <v>8701376</v>
      </c>
      <c r="X35" s="4">
        <v>19.5</v>
      </c>
      <c r="AB35" s="2">
        <f t="shared" si="1"/>
        <v>11377546.122455074</v>
      </c>
    </row>
    <row r="36" spans="1:28" x14ac:dyDescent="0.25">
      <c r="A36" s="1" t="s">
        <v>39</v>
      </c>
      <c r="T36" s="2">
        <v>0</v>
      </c>
      <c r="X36" s="4">
        <v>22.3</v>
      </c>
      <c r="AB36" s="2">
        <f t="shared" si="1"/>
        <v>12481168.096333215</v>
      </c>
    </row>
    <row r="37" spans="1:28" x14ac:dyDescent="0.25">
      <c r="A37" s="1" t="s">
        <v>40</v>
      </c>
      <c r="B37" s="2">
        <v>7285496</v>
      </c>
      <c r="I37" s="2">
        <v>554603</v>
      </c>
      <c r="K37" s="2">
        <v>1600979</v>
      </c>
      <c r="L37" s="2">
        <v>350387</v>
      </c>
      <c r="M37" s="2">
        <v>2218772</v>
      </c>
      <c r="R37" s="2">
        <v>542619</v>
      </c>
      <c r="S37" s="2">
        <v>526543</v>
      </c>
      <c r="T37" s="2">
        <f t="shared" ref="T37:T90" si="2">SUM(B37:S37)</f>
        <v>13079399</v>
      </c>
      <c r="X37" s="4">
        <v>24.1</v>
      </c>
      <c r="AB37" s="2">
        <f t="shared" si="1"/>
        <v>13691841.401677536</v>
      </c>
    </row>
    <row r="38" spans="1:28" x14ac:dyDescent="0.25">
      <c r="A38" s="1" t="s">
        <v>41</v>
      </c>
      <c r="B38" s="2">
        <v>8260762</v>
      </c>
      <c r="D38" s="2">
        <v>172359</v>
      </c>
      <c r="F38" s="2">
        <f>170320+142978</f>
        <v>313298</v>
      </c>
      <c r="H38" s="2">
        <v>789396</v>
      </c>
      <c r="I38" s="2">
        <f>614250-F38</f>
        <v>300952</v>
      </c>
      <c r="K38" s="2">
        <f>1298254+382510</f>
        <v>1680764</v>
      </c>
      <c r="L38" s="2">
        <v>485716</v>
      </c>
      <c r="N38" s="2">
        <v>993520</v>
      </c>
      <c r="P38" s="2">
        <v>732454</v>
      </c>
      <c r="R38" s="2">
        <v>1590002</v>
      </c>
      <c r="S38" s="2">
        <v>361711</v>
      </c>
      <c r="T38" s="2">
        <f t="shared" si="2"/>
        <v>15680934</v>
      </c>
      <c r="X38" s="4">
        <v>23.8</v>
      </c>
      <c r="AA38" s="6">
        <f>(T38-T37)/T37</f>
        <v>0.19890325235891956</v>
      </c>
      <c r="AB38" s="2">
        <f t="shared" si="1"/>
        <v>15019950.017640257</v>
      </c>
    </row>
    <row r="39" spans="1:28" x14ac:dyDescent="0.25">
      <c r="A39" s="1" t="s">
        <v>42</v>
      </c>
      <c r="B39" s="2">
        <v>8934601</v>
      </c>
      <c r="D39" s="2">
        <v>185302</v>
      </c>
      <c r="F39" s="2">
        <f>183338+149923</f>
        <v>333261</v>
      </c>
      <c r="H39" s="2">
        <v>296646</v>
      </c>
      <c r="I39" s="2">
        <f>647514-F39</f>
        <v>314253</v>
      </c>
      <c r="K39" s="2">
        <f>1380657+406014</f>
        <v>1786671</v>
      </c>
      <c r="L39" s="2">
        <v>548498</v>
      </c>
      <c r="N39" s="2">
        <v>1066614</v>
      </c>
      <c r="P39" s="2">
        <v>348271</v>
      </c>
      <c r="Q39" s="2">
        <v>148344</v>
      </c>
      <c r="R39" s="2">
        <v>2960229</v>
      </c>
      <c r="S39" s="2">
        <v>437793</v>
      </c>
      <c r="T39" s="2">
        <f t="shared" si="2"/>
        <v>17360483</v>
      </c>
      <c r="X39" s="4">
        <v>24.1</v>
      </c>
      <c r="AA39" s="6">
        <f t="shared" ref="AA39:AA88" si="3">(T39-T38)/T38</f>
        <v>0.10710771437466671</v>
      </c>
      <c r="AB39" s="2">
        <f t="shared" si="1"/>
        <v>16476885.169351362</v>
      </c>
    </row>
    <row r="40" spans="1:28" x14ac:dyDescent="0.25">
      <c r="A40" s="1" t="s">
        <v>43</v>
      </c>
      <c r="B40" s="2">
        <v>9529009</v>
      </c>
      <c r="D40" s="2">
        <v>203386</v>
      </c>
      <c r="F40" s="2">
        <f>195062+148726</f>
        <v>343788</v>
      </c>
      <c r="H40" s="2">
        <v>424406</v>
      </c>
      <c r="I40" s="2">
        <f>678890-F40</f>
        <v>335102</v>
      </c>
      <c r="K40" s="2">
        <f>1471727+401689</f>
        <v>1873416</v>
      </c>
      <c r="L40" s="2">
        <v>743725</v>
      </c>
      <c r="N40" s="2">
        <v>1117424</v>
      </c>
      <c r="O40" s="2">
        <v>254848</v>
      </c>
      <c r="P40" s="2">
        <v>99912</v>
      </c>
      <c r="Q40" s="2">
        <v>173524</v>
      </c>
      <c r="R40" s="2">
        <v>3480920</v>
      </c>
      <c r="S40" s="2">
        <v>612313</v>
      </c>
      <c r="T40" s="2">
        <f t="shared" si="2"/>
        <v>19191773</v>
      </c>
      <c r="X40" s="4">
        <v>26</v>
      </c>
      <c r="AA40" s="6">
        <f t="shared" si="3"/>
        <v>0.10548612040344731</v>
      </c>
      <c r="AB40" s="2">
        <f t="shared" si="1"/>
        <v>18075143.030778442</v>
      </c>
    </row>
    <row r="41" spans="1:28" x14ac:dyDescent="0.25">
      <c r="A41" s="1" t="s">
        <v>44</v>
      </c>
      <c r="B41" s="2">
        <v>10332284</v>
      </c>
      <c r="D41" s="2">
        <v>219374</v>
      </c>
      <c r="F41" s="2">
        <f>212298+151872</f>
        <v>364170</v>
      </c>
      <c r="H41" s="2">
        <v>483049</v>
      </c>
      <c r="I41" s="2">
        <f>727894-F41</f>
        <v>363724</v>
      </c>
      <c r="K41" s="2">
        <f>1625998+392302</f>
        <v>2018300</v>
      </c>
      <c r="L41" s="2">
        <v>823042</v>
      </c>
      <c r="N41" s="2">
        <v>1195632</v>
      </c>
      <c r="O41" s="2">
        <v>267359</v>
      </c>
      <c r="P41" s="2">
        <v>107315</v>
      </c>
      <c r="Q41" s="2">
        <v>157165</v>
      </c>
      <c r="R41" s="2">
        <v>3175672</v>
      </c>
      <c r="S41" s="2">
        <v>814099</v>
      </c>
      <c r="T41" s="2">
        <f t="shared" si="2"/>
        <v>20321185</v>
      </c>
      <c r="X41" s="4">
        <v>26.5</v>
      </c>
      <c r="AA41" s="6">
        <f t="shared" si="3"/>
        <v>5.8848757746353085E-2</v>
      </c>
      <c r="AB41" s="2">
        <f t="shared" si="1"/>
        <v>19828431.904763948</v>
      </c>
    </row>
    <row r="42" spans="1:28" x14ac:dyDescent="0.25">
      <c r="A42" s="1" t="s">
        <v>45</v>
      </c>
      <c r="B42" s="2">
        <v>11130974</v>
      </c>
      <c r="D42" s="2">
        <v>241355</v>
      </c>
      <c r="F42" s="2">
        <f>222899+155372</f>
        <v>378271</v>
      </c>
      <c r="H42" s="2">
        <v>533409</v>
      </c>
      <c r="I42" s="2">
        <f>774826-F42</f>
        <v>396555</v>
      </c>
      <c r="K42" s="2">
        <f>1757123+450955</f>
        <v>2208078</v>
      </c>
      <c r="L42" s="2">
        <v>891711</v>
      </c>
      <c r="N42" s="2">
        <v>1263229</v>
      </c>
      <c r="O42" s="2">
        <v>275914</v>
      </c>
      <c r="P42" s="2">
        <v>88327</v>
      </c>
      <c r="Q42" s="2">
        <v>109280</v>
      </c>
      <c r="R42" s="2">
        <v>2733306</v>
      </c>
      <c r="S42" s="2">
        <v>975581</v>
      </c>
      <c r="T42" s="2">
        <f t="shared" si="2"/>
        <v>21225990</v>
      </c>
      <c r="X42" s="4">
        <v>26.7</v>
      </c>
      <c r="AA42" s="6">
        <f t="shared" si="3"/>
        <v>4.4525208544678868E-2</v>
      </c>
      <c r="AB42" s="2">
        <f t="shared" si="1"/>
        <v>21751789.799526051</v>
      </c>
    </row>
    <row r="43" spans="1:28" x14ac:dyDescent="0.25">
      <c r="A43" s="1" t="s">
        <v>46</v>
      </c>
      <c r="B43" s="2">
        <v>11962743</v>
      </c>
      <c r="D43" s="2">
        <v>256746</v>
      </c>
      <c r="F43" s="2">
        <f>231549+159456</f>
        <v>391005</v>
      </c>
      <c r="H43" s="2">
        <v>537588</v>
      </c>
      <c r="I43" s="2">
        <f>813212-F43</f>
        <v>422207</v>
      </c>
      <c r="K43" s="2">
        <f>1844274+489538</f>
        <v>2333812</v>
      </c>
      <c r="L43" s="2">
        <v>1042666</v>
      </c>
      <c r="N43" s="2">
        <v>1380827</v>
      </c>
      <c r="O43" s="2">
        <v>261714</v>
      </c>
      <c r="P43" s="2">
        <v>90412</v>
      </c>
      <c r="Q43" s="2">
        <v>76066</v>
      </c>
      <c r="R43" s="2">
        <v>2399963</v>
      </c>
      <c r="S43" s="2">
        <v>1060102</v>
      </c>
      <c r="T43" s="2">
        <f t="shared" si="2"/>
        <v>22215851</v>
      </c>
      <c r="X43" s="4">
        <v>26.9</v>
      </c>
      <c r="AA43" s="6">
        <f t="shared" si="3"/>
        <v>4.6634385486848909E-2</v>
      </c>
      <c r="AB43" s="2">
        <f t="shared" si="1"/>
        <v>23861713.410080075</v>
      </c>
    </row>
    <row r="44" spans="1:28" x14ac:dyDescent="0.25">
      <c r="A44" s="1" t="s">
        <v>47</v>
      </c>
      <c r="B44" s="2">
        <v>12831206</v>
      </c>
      <c r="D44" s="2">
        <v>270033</v>
      </c>
      <c r="F44" s="2">
        <f>241599+165796</f>
        <v>407395</v>
      </c>
      <c r="H44" s="2">
        <v>608629</v>
      </c>
      <c r="I44" s="2">
        <f>878957-F44</f>
        <v>471562</v>
      </c>
      <c r="K44" s="2">
        <f>2005957+544382</f>
        <v>2550339</v>
      </c>
      <c r="L44" s="2">
        <v>1108793</v>
      </c>
      <c r="N44" s="2">
        <v>1472848</v>
      </c>
      <c r="O44" s="2">
        <v>315240</v>
      </c>
      <c r="P44" s="2">
        <v>114600</v>
      </c>
      <c r="Q44" s="2">
        <v>46896</v>
      </c>
      <c r="R44" s="2">
        <v>4931912</v>
      </c>
      <c r="S44" s="2">
        <v>1226812</v>
      </c>
      <c r="T44" s="2">
        <f t="shared" si="2"/>
        <v>26356265</v>
      </c>
      <c r="X44" s="4">
        <v>26.8</v>
      </c>
      <c r="AA44" s="6">
        <f t="shared" si="3"/>
        <v>0.1863720638025525</v>
      </c>
      <c r="AB44" s="2">
        <f t="shared" si="1"/>
        <v>26176299.610857841</v>
      </c>
    </row>
    <row r="45" spans="1:28" x14ac:dyDescent="0.25">
      <c r="A45" s="1" t="s">
        <v>48</v>
      </c>
      <c r="B45" s="2">
        <v>14126773</v>
      </c>
      <c r="D45" s="2">
        <v>281549</v>
      </c>
      <c r="F45" s="2">
        <f>248920+174220</f>
        <v>423140</v>
      </c>
      <c r="H45" s="2">
        <v>646832</v>
      </c>
      <c r="I45" s="2">
        <f>938874-F45</f>
        <v>515734</v>
      </c>
      <c r="K45" s="2">
        <f>2250077+584707</f>
        <v>2834784</v>
      </c>
      <c r="L45" s="2">
        <v>1229313</v>
      </c>
      <c r="N45" s="2">
        <v>1564726</v>
      </c>
      <c r="O45" s="2">
        <v>374705</v>
      </c>
      <c r="P45" s="2">
        <v>122055</v>
      </c>
      <c r="Q45" s="2">
        <v>44060</v>
      </c>
      <c r="R45" s="2">
        <v>5690923</v>
      </c>
      <c r="S45" s="2">
        <v>1829347</v>
      </c>
      <c r="T45" s="2">
        <f t="shared" si="2"/>
        <v>29683941</v>
      </c>
      <c r="X45" s="4">
        <v>27.2</v>
      </c>
      <c r="AA45" s="6">
        <f t="shared" si="3"/>
        <v>0.12625749513445855</v>
      </c>
      <c r="AB45" s="2">
        <f t="shared" si="1"/>
        <v>28715400.673111051</v>
      </c>
    </row>
    <row r="46" spans="1:28" x14ac:dyDescent="0.25">
      <c r="A46" s="1" t="s">
        <v>49</v>
      </c>
      <c r="B46" s="2">
        <v>15431201</v>
      </c>
      <c r="D46" s="2">
        <v>307067</v>
      </c>
      <c r="F46" s="2">
        <f>264042+180576</f>
        <v>444618</v>
      </c>
      <c r="H46" s="2">
        <v>693021</v>
      </c>
      <c r="I46" s="2">
        <f>1003270-F46</f>
        <v>558652</v>
      </c>
      <c r="K46" s="2">
        <f>2449274+576213</f>
        <v>3025487</v>
      </c>
      <c r="L46" s="2">
        <v>1365614</v>
      </c>
      <c r="N46" s="2">
        <v>1664793</v>
      </c>
      <c r="O46" s="2">
        <v>474896</v>
      </c>
      <c r="P46" s="2">
        <v>140888</v>
      </c>
      <c r="Q46" s="2">
        <v>45687</v>
      </c>
      <c r="R46" s="2">
        <v>8874297</v>
      </c>
      <c r="S46" s="2">
        <v>2236990</v>
      </c>
      <c r="T46" s="2">
        <f t="shared" si="2"/>
        <v>35263211</v>
      </c>
      <c r="X46" s="4">
        <v>28.1</v>
      </c>
      <c r="AA46" s="6">
        <f t="shared" si="3"/>
        <v>0.18795583780469041</v>
      </c>
      <c r="AB46" s="2">
        <f t="shared" si="1"/>
        <v>31500794.538402822</v>
      </c>
    </row>
    <row r="47" spans="1:28" x14ac:dyDescent="0.25">
      <c r="A47" s="1" t="s">
        <v>50</v>
      </c>
      <c r="B47" s="2">
        <v>17343717</v>
      </c>
      <c r="D47" s="2">
        <v>362256</v>
      </c>
      <c r="F47" s="2">
        <f>275359+183554</f>
        <v>458913</v>
      </c>
      <c r="H47" s="2">
        <v>785876</v>
      </c>
      <c r="I47" s="2">
        <f>1085236-F47</f>
        <v>626323</v>
      </c>
      <c r="K47" s="2">
        <f>2689428+725222</f>
        <v>3414650</v>
      </c>
      <c r="L47" s="2">
        <v>1434161</v>
      </c>
      <c r="N47" s="2">
        <v>1798010</v>
      </c>
      <c r="O47" s="2">
        <v>566678</v>
      </c>
      <c r="P47" s="2">
        <v>161171</v>
      </c>
      <c r="Q47" s="2">
        <v>50511</v>
      </c>
      <c r="R47" s="2">
        <v>7088963</v>
      </c>
      <c r="S47" s="2">
        <v>2547190</v>
      </c>
      <c r="T47" s="2">
        <f t="shared" si="2"/>
        <v>36638419</v>
      </c>
      <c r="X47" s="4">
        <v>28.9</v>
      </c>
      <c r="AA47" s="6">
        <f t="shared" si="3"/>
        <v>3.8998377090503758E-2</v>
      </c>
      <c r="AB47" s="2">
        <f t="shared" si="1"/>
        <v>34556371.608627893</v>
      </c>
    </row>
    <row r="48" spans="1:28" x14ac:dyDescent="0.25">
      <c r="A48" s="1" t="s">
        <v>51</v>
      </c>
      <c r="B48" s="2">
        <v>19589618</v>
      </c>
      <c r="D48" s="2">
        <v>386829</v>
      </c>
      <c r="F48" s="2">
        <f>274926+196448</f>
        <v>471374</v>
      </c>
      <c r="H48" s="2">
        <v>882092</v>
      </c>
      <c r="I48" s="2">
        <f>1125305-F48</f>
        <v>653931</v>
      </c>
      <c r="K48" s="2">
        <f>2946259+660639</f>
        <v>3606898</v>
      </c>
      <c r="L48" s="2">
        <v>1612840</v>
      </c>
      <c r="N48" s="2">
        <v>1920756</v>
      </c>
      <c r="O48" s="2">
        <v>568603</v>
      </c>
      <c r="P48" s="2">
        <v>205511</v>
      </c>
      <c r="Q48" s="2">
        <v>49408</v>
      </c>
      <c r="R48" s="2">
        <v>5245400</v>
      </c>
      <c r="S48" s="2">
        <v>2915768</v>
      </c>
      <c r="T48" s="2">
        <f t="shared" si="2"/>
        <v>38109028</v>
      </c>
      <c r="X48" s="4">
        <v>29.1</v>
      </c>
      <c r="AA48" s="6">
        <f t="shared" si="3"/>
        <v>4.0138440471462485E-2</v>
      </c>
      <c r="AB48" s="2">
        <f t="shared" si="1"/>
        <v>37908339.6546648</v>
      </c>
    </row>
    <row r="49" spans="1:29" x14ac:dyDescent="0.25">
      <c r="A49" s="1" t="s">
        <v>52</v>
      </c>
      <c r="B49" s="2">
        <v>21464623</v>
      </c>
      <c r="D49" s="2">
        <v>411942</v>
      </c>
      <c r="F49" s="2">
        <f>307193+202798</f>
        <v>509991</v>
      </c>
      <c r="H49" s="2">
        <v>937725</v>
      </c>
      <c r="I49" s="2">
        <f>1217535-F49</f>
        <v>707544</v>
      </c>
      <c r="K49" s="2">
        <f>3052120+715208</f>
        <v>3767328</v>
      </c>
      <c r="L49" s="2">
        <v>1791208</v>
      </c>
      <c r="N49" s="2">
        <v>2069131</v>
      </c>
      <c r="O49" s="2">
        <v>631491</v>
      </c>
      <c r="P49" s="2">
        <v>239162</v>
      </c>
      <c r="Q49" s="2">
        <v>45679</v>
      </c>
      <c r="R49" s="2">
        <v>7050177</v>
      </c>
      <c r="S49" s="2">
        <v>3283344</v>
      </c>
      <c r="T49" s="2">
        <f t="shared" si="2"/>
        <v>42909345</v>
      </c>
      <c r="X49" s="4">
        <v>29.6</v>
      </c>
      <c r="AA49" s="6">
        <f t="shared" si="3"/>
        <v>0.12596272463312369</v>
      </c>
      <c r="AB49" s="2">
        <f t="shared" si="1"/>
        <v>41585448.601167284</v>
      </c>
    </row>
    <row r="50" spans="1:29" x14ac:dyDescent="0.25">
      <c r="A50" s="1" t="s">
        <v>53</v>
      </c>
      <c r="B50" s="2">
        <v>23514172</v>
      </c>
      <c r="D50" s="2">
        <v>436198</v>
      </c>
      <c r="F50" s="2">
        <f>330754+213372</f>
        <v>544126</v>
      </c>
      <c r="H50" s="2">
        <v>1035554</v>
      </c>
      <c r="I50" s="2">
        <f>1346140-F50</f>
        <v>802014</v>
      </c>
      <c r="K50" s="2">
        <f>3329242+758466</f>
        <v>4087708</v>
      </c>
      <c r="L50" s="2">
        <v>1942399</v>
      </c>
      <c r="N50" s="2">
        <v>2216617</v>
      </c>
      <c r="O50" s="2">
        <v>657877</v>
      </c>
      <c r="P50" s="2">
        <v>236573</v>
      </c>
      <c r="Q50" s="2">
        <v>35126</v>
      </c>
      <c r="R50" s="2">
        <v>9477273</v>
      </c>
      <c r="S50" s="2">
        <v>3876774</v>
      </c>
      <c r="T50" s="2">
        <f t="shared" si="2"/>
        <v>48862411</v>
      </c>
      <c r="X50" s="4">
        <v>29.9</v>
      </c>
      <c r="AA50" s="6">
        <f t="shared" si="3"/>
        <v>0.13873588608728471</v>
      </c>
      <c r="AB50" s="2">
        <f t="shared" si="1"/>
        <v>45619237.115480512</v>
      </c>
    </row>
    <row r="51" spans="1:29" x14ac:dyDescent="0.25">
      <c r="A51" s="1" t="s">
        <v>54</v>
      </c>
      <c r="B51" s="2">
        <v>25371503</v>
      </c>
      <c r="D51" s="2">
        <v>459200</v>
      </c>
      <c r="F51" s="2">
        <f>341058+219748</f>
        <v>560806</v>
      </c>
      <c r="H51" s="2">
        <v>1149500</v>
      </c>
      <c r="I51" s="2">
        <f>1405702-F51</f>
        <v>844896</v>
      </c>
      <c r="K51" s="2">
        <f>3521386+812492</f>
        <v>4333878</v>
      </c>
      <c r="L51" s="2">
        <v>2122171</v>
      </c>
      <c r="N51" s="2">
        <v>2354274</v>
      </c>
      <c r="O51" s="2">
        <v>717419</v>
      </c>
      <c r="P51" s="2">
        <v>309919</v>
      </c>
      <c r="Q51" s="2">
        <v>28370</v>
      </c>
      <c r="R51" s="2">
        <v>10133062</v>
      </c>
      <c r="S51" s="2">
        <v>4330814</v>
      </c>
      <c r="T51" s="2">
        <f t="shared" si="2"/>
        <v>52715812</v>
      </c>
      <c r="X51" s="4">
        <v>30.2</v>
      </c>
      <c r="AA51" s="6">
        <f t="shared" si="3"/>
        <v>7.8862277180714646E-2</v>
      </c>
      <c r="AB51" s="2">
        <f t="shared" si="1"/>
        <v>50044303.115682118</v>
      </c>
    </row>
    <row r="52" spans="1:29" x14ac:dyDescent="0.25">
      <c r="A52" s="1" t="s">
        <v>55</v>
      </c>
      <c r="B52" s="2">
        <v>28148858</v>
      </c>
      <c r="D52" s="2">
        <f>32507+456001</f>
        <v>488508</v>
      </c>
      <c r="F52" s="2">
        <f>157996+64475</f>
        <v>222471</v>
      </c>
      <c r="G52" s="2">
        <v>776983</v>
      </c>
      <c r="H52" s="2">
        <f>2370607-G52</f>
        <v>1593624</v>
      </c>
      <c r="I52" s="2">
        <f>580413-F52</f>
        <v>357942</v>
      </c>
      <c r="K52" s="2">
        <f>3953276+1034734</f>
        <v>4988010</v>
      </c>
      <c r="L52" s="2">
        <v>2386595</v>
      </c>
      <c r="N52" s="2">
        <v>2529438</v>
      </c>
      <c r="O52" s="2">
        <v>773235</v>
      </c>
      <c r="P52" s="2">
        <v>350319</v>
      </c>
      <c r="Q52" s="2">
        <f>66854+50580+11997</f>
        <v>129431</v>
      </c>
      <c r="R52" s="2">
        <v>9672520</v>
      </c>
      <c r="S52" s="2">
        <v>5169368</v>
      </c>
      <c r="T52" s="2">
        <f t="shared" si="2"/>
        <v>57587302</v>
      </c>
      <c r="X52" s="4">
        <v>30.6</v>
      </c>
      <c r="AA52" s="6">
        <f t="shared" si="3"/>
        <v>9.241041378628484E-2</v>
      </c>
      <c r="AB52" s="2">
        <f t="shared" si="1"/>
        <v>54898600.517903283</v>
      </c>
    </row>
    <row r="53" spans="1:29" x14ac:dyDescent="0.25">
      <c r="A53" s="1" t="s">
        <v>56</v>
      </c>
      <c r="B53" s="2">
        <v>31090773</v>
      </c>
      <c r="D53" s="2">
        <f>32089+493450</f>
        <v>525539</v>
      </c>
      <c r="F53" s="2">
        <f>160777+62945</f>
        <v>223722</v>
      </c>
      <c r="G53" s="2">
        <v>889807</v>
      </c>
      <c r="H53" s="2">
        <f>2881192-G53</f>
        <v>1991385</v>
      </c>
      <c r="I53" s="2">
        <f>626522-F53</f>
        <v>402800</v>
      </c>
      <c r="K53" s="2">
        <f>4183612+1214620</f>
        <v>5398232</v>
      </c>
      <c r="L53" s="2">
        <v>2624882</v>
      </c>
      <c r="N53" s="2">
        <v>2738186</v>
      </c>
      <c r="O53" s="2">
        <v>834911</v>
      </c>
      <c r="P53" s="2">
        <v>374636</v>
      </c>
      <c r="Q53" s="2">
        <f>70039+62838+34998</f>
        <v>167875</v>
      </c>
      <c r="R53" s="2">
        <v>9579322</v>
      </c>
      <c r="S53" s="2">
        <v>5705749</v>
      </c>
      <c r="T53" s="2">
        <f t="shared" si="2"/>
        <v>62547819</v>
      </c>
      <c r="X53" s="4">
        <v>31</v>
      </c>
      <c r="AA53" s="6">
        <f t="shared" si="3"/>
        <v>8.6139076284560093E-2</v>
      </c>
      <c r="AB53" s="2">
        <f t="shared" si="1"/>
        <v>60223764.768139899</v>
      </c>
    </row>
    <row r="54" spans="1:29" x14ac:dyDescent="0.25">
      <c r="A54" s="1" t="s">
        <v>57</v>
      </c>
      <c r="B54" s="2">
        <v>34741545</v>
      </c>
      <c r="D54" s="2">
        <f>24770+562329</f>
        <v>587099</v>
      </c>
      <c r="F54" s="2">
        <f>165738+55813</f>
        <v>221551</v>
      </c>
      <c r="G54" s="2">
        <v>1023639</v>
      </c>
      <c r="H54" s="2">
        <f>2938348-G54</f>
        <v>1914709</v>
      </c>
      <c r="I54" s="2">
        <f>652743-F54</f>
        <v>431192</v>
      </c>
      <c r="K54" s="2">
        <f>4552847+1321596</f>
        <v>5874443</v>
      </c>
      <c r="L54" s="2">
        <v>2893618</v>
      </c>
      <c r="N54" s="2">
        <v>2923999</v>
      </c>
      <c r="O54" s="2">
        <v>823606</v>
      </c>
      <c r="P54" s="2">
        <v>477902</v>
      </c>
      <c r="Q54" s="2">
        <f>69476+63325+34699</f>
        <v>167500</v>
      </c>
      <c r="R54" s="2">
        <v>12454032</v>
      </c>
      <c r="S54" s="2">
        <v>6390681</v>
      </c>
      <c r="T54" s="2">
        <f t="shared" si="2"/>
        <v>70925516</v>
      </c>
      <c r="X54" s="4">
        <v>31.5</v>
      </c>
      <c r="AA54" s="6">
        <f t="shared" si="3"/>
        <v>0.1339406734549769</v>
      </c>
      <c r="AB54" s="2">
        <f t="shared" si="1"/>
        <v>66065469.95064947</v>
      </c>
    </row>
    <row r="55" spans="1:29" x14ac:dyDescent="0.25">
      <c r="A55" s="1" t="s">
        <v>58</v>
      </c>
      <c r="B55" s="2">
        <v>38884630</v>
      </c>
      <c r="D55" s="2">
        <f>21269+647930</f>
        <v>669199</v>
      </c>
      <c r="F55" s="2">
        <f>175459+56769</f>
        <v>232228</v>
      </c>
      <c r="G55" s="2">
        <v>1148870</v>
      </c>
      <c r="H55" s="2">
        <f>3140612-G55</f>
        <v>1991742</v>
      </c>
      <c r="I55" s="2">
        <f>710149-F55</f>
        <v>477921</v>
      </c>
      <c r="K55" s="2">
        <f>4911377+1307280</f>
        <v>6218657</v>
      </c>
      <c r="L55" s="2">
        <v>3240213</v>
      </c>
      <c r="N55" s="2">
        <v>3165079</v>
      </c>
      <c r="O55" s="2">
        <v>958105</v>
      </c>
      <c r="P55" s="2">
        <v>550122</v>
      </c>
      <c r="Q55" s="2">
        <f>75742+71519+50544</f>
        <v>197805</v>
      </c>
      <c r="R55" s="2">
        <v>15905426</v>
      </c>
      <c r="S55" s="2">
        <v>7410984</v>
      </c>
      <c r="T55" s="2">
        <f t="shared" si="2"/>
        <v>81050981</v>
      </c>
      <c r="X55" s="4">
        <v>32.4</v>
      </c>
      <c r="AA55" s="6">
        <f t="shared" si="3"/>
        <v>0.14276195043825976</v>
      </c>
      <c r="AB55" s="2">
        <f t="shared" si="1"/>
        <v>72473820.535862461</v>
      </c>
    </row>
    <row r="56" spans="1:29" x14ac:dyDescent="0.25">
      <c r="A56" s="1" t="s">
        <v>59</v>
      </c>
      <c r="B56" s="2">
        <v>44912336</v>
      </c>
      <c r="D56" s="2">
        <f>42504+732222</f>
        <v>774726</v>
      </c>
      <c r="F56" s="2">
        <f>208285+98317</f>
        <v>306602</v>
      </c>
      <c r="G56" s="2">
        <v>1348564</v>
      </c>
      <c r="H56" s="2">
        <f>3147938-G56</f>
        <v>1799374</v>
      </c>
      <c r="I56" s="2">
        <f>843562-F56</f>
        <v>536960</v>
      </c>
      <c r="K56" s="2">
        <f>5453367+1505038</f>
        <v>6958405</v>
      </c>
      <c r="L56" s="2">
        <v>3891911</v>
      </c>
      <c r="N56" s="2">
        <v>3456855</v>
      </c>
      <c r="O56" s="2">
        <v>1041748</v>
      </c>
      <c r="P56" s="2">
        <v>678962</v>
      </c>
      <c r="Q56" s="2">
        <f>131405+74323+102335</f>
        <v>308063</v>
      </c>
      <c r="R56" s="2">
        <v>23702503</v>
      </c>
      <c r="S56" s="2">
        <v>9246962</v>
      </c>
      <c r="T56" s="2">
        <f t="shared" si="2"/>
        <v>98963971</v>
      </c>
      <c r="X56" s="4">
        <v>33.4</v>
      </c>
      <c r="AA56" s="6">
        <f t="shared" si="3"/>
        <v>0.2210089227667707</v>
      </c>
      <c r="AB56" s="2">
        <f t="shared" si="1"/>
        <v>79503781.127841115</v>
      </c>
    </row>
    <row r="57" spans="1:29" x14ac:dyDescent="0.25">
      <c r="A57" s="1" t="s">
        <v>60</v>
      </c>
      <c r="B57" s="2">
        <v>50694441</v>
      </c>
      <c r="D57" s="2">
        <f>33505+825922</f>
        <v>859427</v>
      </c>
      <c r="F57" s="2">
        <f>223310+70688</f>
        <v>293998</v>
      </c>
      <c r="G57" s="2">
        <v>1628481</v>
      </c>
      <c r="H57" s="2">
        <f>3491196-G57</f>
        <v>1862715</v>
      </c>
      <c r="I57" s="2">
        <f>830887-F57</f>
        <v>536889</v>
      </c>
      <c r="K57" s="2">
        <f>6307572+1680975</f>
        <v>7988547</v>
      </c>
      <c r="L57" s="2">
        <v>3731391</v>
      </c>
      <c r="N57" s="2">
        <v>3859186</v>
      </c>
      <c r="O57" s="2">
        <v>1171449</v>
      </c>
      <c r="P57" s="2">
        <v>741172</v>
      </c>
      <c r="Q57" s="2">
        <f>125893+102075+83081</f>
        <v>311049</v>
      </c>
      <c r="R57" s="2">
        <v>16211841</v>
      </c>
      <c r="S57" s="2">
        <v>10665292</v>
      </c>
      <c r="T57" s="2">
        <f t="shared" si="2"/>
        <v>100555878</v>
      </c>
      <c r="X57" s="4">
        <v>34.799999999999997</v>
      </c>
      <c r="AA57" s="6">
        <f t="shared" si="3"/>
        <v>1.608572275257629E-2</v>
      </c>
      <c r="AB57" s="2">
        <f t="shared" si="1"/>
        <v>87215647.897241697</v>
      </c>
    </row>
    <row r="58" spans="1:29" x14ac:dyDescent="0.25">
      <c r="A58" s="1" t="s">
        <v>61</v>
      </c>
      <c r="B58" s="2">
        <v>58801456</v>
      </c>
      <c r="D58" s="2">
        <f>44446+937488</f>
        <v>981934</v>
      </c>
      <c r="F58" s="2">
        <f>243314+73883</f>
        <v>317197</v>
      </c>
      <c r="G58" s="2">
        <v>1821571</v>
      </c>
      <c r="H58" s="2">
        <f>3897567-G58</f>
        <v>2075996</v>
      </c>
      <c r="I58" s="2">
        <f>940148-F58</f>
        <v>622951</v>
      </c>
      <c r="K58" s="2">
        <f>7009131+2090854</f>
        <v>9099985</v>
      </c>
      <c r="L58" s="2">
        <v>4055769</v>
      </c>
      <c r="N58" s="2">
        <v>4282454</v>
      </c>
      <c r="O58" s="2">
        <v>1225110</v>
      </c>
      <c r="P58" s="2">
        <v>874656</v>
      </c>
      <c r="Q58" s="2">
        <f>140173+123047+86502</f>
        <v>349722</v>
      </c>
      <c r="R58" s="2">
        <v>14753801</v>
      </c>
      <c r="S58" s="2">
        <v>11479084</v>
      </c>
      <c r="T58" s="2">
        <f t="shared" si="2"/>
        <v>110741686</v>
      </c>
      <c r="X58" s="4">
        <v>36.700000000000003</v>
      </c>
      <c r="AA58" s="6">
        <f t="shared" si="3"/>
        <v>0.10129500336121575</v>
      </c>
      <c r="AB58" s="2">
        <f t="shared" si="1"/>
        <v>95675565.743274137</v>
      </c>
    </row>
    <row r="59" spans="1:29" x14ac:dyDescent="0.25">
      <c r="A59" s="1" t="s">
        <v>62</v>
      </c>
      <c r="B59" s="2">
        <v>69777276</v>
      </c>
      <c r="D59" s="2">
        <f>43264+1130007</f>
        <v>1173271</v>
      </c>
      <c r="F59" s="2">
        <f>266958+83857</f>
        <v>350815</v>
      </c>
      <c r="G59" s="2">
        <v>2164180</v>
      </c>
      <c r="H59" s="2">
        <f>4706367-G59</f>
        <v>2542187</v>
      </c>
      <c r="I59" s="2">
        <f>1073260-F59</f>
        <v>722445</v>
      </c>
      <c r="K59" s="2">
        <f>7680568+2184558</f>
        <v>9865126</v>
      </c>
      <c r="L59" s="2">
        <v>4703255</v>
      </c>
      <c r="N59" s="2">
        <v>4859928</v>
      </c>
      <c r="O59" s="2">
        <v>1538549</v>
      </c>
      <c r="P59" s="2">
        <v>1014694</v>
      </c>
      <c r="Q59" s="2">
        <f>249892+115575+81896</f>
        <v>447363</v>
      </c>
      <c r="R59" s="2">
        <v>19819552</v>
      </c>
      <c r="S59" s="2">
        <v>14574471</v>
      </c>
      <c r="T59" s="2">
        <f t="shared" si="2"/>
        <v>133553112</v>
      </c>
      <c r="X59" s="4">
        <v>38.799999999999997</v>
      </c>
      <c r="AA59" s="6">
        <f t="shared" si="3"/>
        <v>0.2059877072848611</v>
      </c>
      <c r="AB59" s="2">
        <f t="shared" si="1"/>
        <v>104956095.62037173</v>
      </c>
      <c r="AC59" s="6">
        <v>4.2000000000000003E-2</v>
      </c>
    </row>
    <row r="60" spans="1:29" x14ac:dyDescent="0.25">
      <c r="A60" s="1" t="s">
        <v>63</v>
      </c>
      <c r="B60" s="2">
        <v>80800209</v>
      </c>
      <c r="D60" s="2">
        <f>66416+1245154</f>
        <v>1311570</v>
      </c>
      <c r="F60" s="2">
        <f>309135+78588</f>
        <v>387723</v>
      </c>
      <c r="G60" s="2">
        <v>2506047</v>
      </c>
      <c r="H60" s="2">
        <f>6020267-G60</f>
        <v>3514220</v>
      </c>
      <c r="I60" s="2">
        <f>1192981-F60</f>
        <v>805258</v>
      </c>
      <c r="K60" s="2">
        <f>8904771+2585125</f>
        <v>11489896</v>
      </c>
      <c r="L60" s="2">
        <v>5755698</v>
      </c>
      <c r="N60" s="2">
        <v>5641964</v>
      </c>
      <c r="O60" s="2">
        <v>1915071</v>
      </c>
      <c r="P60" s="2">
        <v>1178198</v>
      </c>
      <c r="Q60" s="2">
        <f>184958+105698+94646</f>
        <v>385302</v>
      </c>
      <c r="R60" s="2">
        <v>15754654</v>
      </c>
      <c r="S60" s="2">
        <v>14032211</v>
      </c>
      <c r="T60" s="2">
        <f t="shared" si="2"/>
        <v>145478021</v>
      </c>
      <c r="X60" s="4">
        <v>40.5</v>
      </c>
      <c r="AA60" s="6">
        <f t="shared" si="3"/>
        <v>8.9289637818398424E-2</v>
      </c>
      <c r="AB60" s="2">
        <f t="shared" si="1"/>
        <v>115136836.89554778</v>
      </c>
      <c r="AC60" s="6">
        <v>4.4999999999999998E-2</v>
      </c>
    </row>
    <row r="61" spans="1:29" x14ac:dyDescent="0.25">
      <c r="A61" s="1" t="s">
        <v>64</v>
      </c>
      <c r="B61" s="2">
        <v>90035985</v>
      </c>
      <c r="D61" s="2">
        <f>73007+1406092</f>
        <v>1479099</v>
      </c>
      <c r="F61" s="2">
        <f>351476+88987</f>
        <v>440463</v>
      </c>
      <c r="G61" s="2">
        <v>2873248</v>
      </c>
      <c r="H61" s="2">
        <f>5910807-G61</f>
        <v>3037559</v>
      </c>
      <c r="I61" s="2">
        <f>1385201-F61</f>
        <v>944738</v>
      </c>
      <c r="K61" s="2">
        <f>9664967+2845546</f>
        <v>12510513</v>
      </c>
      <c r="L61" s="2">
        <v>7276697</v>
      </c>
      <c r="N61" s="2">
        <v>6096421</v>
      </c>
      <c r="O61" s="2">
        <v>2464713</v>
      </c>
      <c r="P61" s="2">
        <v>1264510</v>
      </c>
      <c r="Q61" s="2">
        <f>148132+141944+162837</f>
        <v>452913</v>
      </c>
      <c r="R61" s="2">
        <v>16686553</v>
      </c>
      <c r="S61" s="2">
        <v>14425036</v>
      </c>
      <c r="T61" s="2">
        <f t="shared" si="2"/>
        <v>159988448</v>
      </c>
      <c r="W61" s="23">
        <v>3696</v>
      </c>
      <c r="X61" s="4">
        <v>41.8</v>
      </c>
      <c r="Y61" s="6">
        <f>T61/(W61*1000000)</f>
        <v>4.3286917748917748E-2</v>
      </c>
      <c r="AA61" s="6">
        <f t="shared" si="3"/>
        <v>9.9743087651707876E-2</v>
      </c>
      <c r="AB61" s="2">
        <f t="shared" si="1"/>
        <v>126305110.07441591</v>
      </c>
      <c r="AC61" s="6">
        <v>4.3999999999999997E-2</v>
      </c>
    </row>
    <row r="62" spans="1:29" x14ac:dyDescent="0.25">
      <c r="A62" s="1" t="s">
        <v>65</v>
      </c>
      <c r="B62" s="2">
        <v>97932154</v>
      </c>
      <c r="D62" s="2">
        <f>57693+1604368</f>
        <v>1662061</v>
      </c>
      <c r="F62" s="2">
        <f>416090+107838</f>
        <v>523928</v>
      </c>
      <c r="G62" s="2">
        <v>3286483</v>
      </c>
      <c r="H62" s="2">
        <f>6243360-G62</f>
        <v>2956877</v>
      </c>
      <c r="I62" s="2">
        <f>1618926-F62</f>
        <v>1094998</v>
      </c>
      <c r="K62" s="2">
        <f>10666543+3308113</f>
        <v>13974656</v>
      </c>
      <c r="L62" s="2">
        <v>10036425</v>
      </c>
      <c r="N62" s="2">
        <v>6843574</v>
      </c>
      <c r="O62" s="2">
        <v>2758656</v>
      </c>
      <c r="P62" s="2">
        <v>1379580</v>
      </c>
      <c r="Q62" s="2">
        <f>145247+144991+202902</f>
        <v>493140</v>
      </c>
      <c r="R62" s="2">
        <v>14054059</v>
      </c>
      <c r="S62" s="2">
        <v>15881837</v>
      </c>
      <c r="T62" s="2">
        <f t="shared" si="2"/>
        <v>172878428</v>
      </c>
      <c r="W62" s="23">
        <v>4177</v>
      </c>
      <c r="X62" s="4">
        <v>44.4</v>
      </c>
      <c r="Y62" s="6">
        <f t="shared" ref="Y62:Y88" si="4">T62/(W62*1000000)</f>
        <v>4.138818003351688E-2</v>
      </c>
      <c r="AA62" s="6">
        <f t="shared" si="3"/>
        <v>8.0568192023464089E-2</v>
      </c>
      <c r="AB62" s="2">
        <f t="shared" si="1"/>
        <v>138556705.75163424</v>
      </c>
      <c r="AC62" s="6">
        <v>4.2999999999999997E-2</v>
      </c>
    </row>
    <row r="63" spans="1:29" x14ac:dyDescent="0.25">
      <c r="A63" s="1" t="s">
        <v>66</v>
      </c>
      <c r="B63" s="2">
        <v>106041196</v>
      </c>
      <c r="D63" s="2">
        <f>66149+1838074</f>
        <v>1904223</v>
      </c>
      <c r="F63" s="2">
        <f>483525+139222</f>
        <v>622747</v>
      </c>
      <c r="G63" s="2">
        <v>3748067</v>
      </c>
      <c r="H63" s="2">
        <f>7369890-G63</f>
        <v>3621823</v>
      </c>
      <c r="I63" s="2">
        <f>1925262-F63</f>
        <v>1302515</v>
      </c>
      <c r="K63" s="2">
        <f>12758095+4042920</f>
        <v>16801015</v>
      </c>
      <c r="L63" s="2">
        <v>10792768</v>
      </c>
      <c r="N63" s="2">
        <v>7534749</v>
      </c>
      <c r="O63" s="2">
        <v>3820217</v>
      </c>
      <c r="P63" s="2">
        <v>1611381</v>
      </c>
      <c r="Q63" s="2">
        <f>273313+232130+166280</f>
        <v>671723</v>
      </c>
      <c r="R63" s="2">
        <v>20901688</v>
      </c>
      <c r="S63" s="2">
        <v>16550042</v>
      </c>
      <c r="T63" s="2">
        <f t="shared" si="2"/>
        <v>195924154</v>
      </c>
      <c r="W63" s="23">
        <v>4451</v>
      </c>
      <c r="X63" s="4">
        <v>49.3</v>
      </c>
      <c r="Y63" s="6">
        <f t="shared" si="4"/>
        <v>4.4018008088070097E-2</v>
      </c>
      <c r="AA63" s="6">
        <f t="shared" si="3"/>
        <v>0.133305966895997</v>
      </c>
      <c r="AB63" s="2">
        <f t="shared" si="1"/>
        <v>151996706.20954275</v>
      </c>
      <c r="AC63" s="6">
        <v>4.2000000000000003E-2</v>
      </c>
    </row>
    <row r="64" spans="1:29" x14ac:dyDescent="0.25">
      <c r="A64" s="1" t="s">
        <v>67</v>
      </c>
      <c r="B64" s="2">
        <v>118412027</v>
      </c>
      <c r="D64" s="2">
        <f>70954+1979973</f>
        <v>2050927</v>
      </c>
      <c r="F64" s="2">
        <f>518240+154493</f>
        <v>672733</v>
      </c>
      <c r="G64" s="2">
        <v>4309370</v>
      </c>
      <c r="H64" s="2">
        <f>8647161-G64</f>
        <v>4337791</v>
      </c>
      <c r="I64" s="2">
        <f>2226027-F64</f>
        <v>1553294</v>
      </c>
      <c r="K64" s="2">
        <f>15770420+4427479</f>
        <v>20197899</v>
      </c>
      <c r="L64" s="2">
        <v>12336584</v>
      </c>
      <c r="N64" s="2">
        <v>8588756</v>
      </c>
      <c r="O64" s="2">
        <v>4737055</v>
      </c>
      <c r="P64" s="2">
        <v>1968289</v>
      </c>
      <c r="Q64" s="2">
        <f>373666+345069+140025</f>
        <v>858760</v>
      </c>
      <c r="R64" s="2">
        <v>33868759</v>
      </c>
      <c r="S64" s="2">
        <v>19947137</v>
      </c>
      <c r="T64" s="2">
        <f t="shared" si="2"/>
        <v>233839381</v>
      </c>
      <c r="W64" s="23">
        <v>4770</v>
      </c>
      <c r="X64" s="4">
        <v>53.8</v>
      </c>
      <c r="Y64" s="6">
        <f t="shared" si="4"/>
        <v>4.902293102725367E-2</v>
      </c>
      <c r="AA64" s="6">
        <f t="shared" si="3"/>
        <v>0.19351992200002047</v>
      </c>
      <c r="AB64" s="2">
        <f t="shared" ref="AB64:AB90" si="5">AB63*(1+AB$29)</f>
        <v>166740386.71186841</v>
      </c>
      <c r="AC64" s="6">
        <v>4.4999999999999998E-2</v>
      </c>
    </row>
    <row r="65" spans="1:29" x14ac:dyDescent="0.25">
      <c r="A65" s="1" t="s">
        <v>68</v>
      </c>
      <c r="B65" s="2">
        <v>128196015</v>
      </c>
      <c r="D65" s="2">
        <f>81110+2177170</f>
        <v>2258280</v>
      </c>
      <c r="F65" s="2">
        <f>658899+147292</f>
        <v>806191</v>
      </c>
      <c r="G65" s="2">
        <v>4552280</v>
      </c>
      <c r="H65" s="2">
        <f>9208112-G65</f>
        <v>4655832</v>
      </c>
      <c r="I65" s="2">
        <f>2431719-F65</f>
        <v>1625528</v>
      </c>
      <c r="K65" s="2">
        <f>17420879+4406409</f>
        <v>21827288</v>
      </c>
      <c r="L65" s="2">
        <v>15439877</v>
      </c>
      <c r="N65" s="2">
        <v>9584040</v>
      </c>
      <c r="O65" s="2">
        <v>6184070</v>
      </c>
      <c r="P65" s="2">
        <v>2155428</v>
      </c>
      <c r="Q65" s="2">
        <f>385360+374770+189022</f>
        <v>949152</v>
      </c>
      <c r="R65" s="2">
        <v>25266920</v>
      </c>
      <c r="S65" s="2">
        <v>21253675</v>
      </c>
      <c r="T65" s="2">
        <f t="shared" si="2"/>
        <v>244754576</v>
      </c>
      <c r="W65" s="23">
        <v>5493</v>
      </c>
      <c r="X65" s="4">
        <v>56.9</v>
      </c>
      <c r="Y65" s="6">
        <f t="shared" si="4"/>
        <v>4.4557541598397962E-2</v>
      </c>
      <c r="AA65" s="6">
        <f t="shared" si="3"/>
        <v>4.6678172655614414E-2</v>
      </c>
      <c r="AB65" s="2">
        <f t="shared" si="5"/>
        <v>182914204.22291964</v>
      </c>
      <c r="AC65" s="6">
        <v>4.4999999999999998E-2</v>
      </c>
    </row>
    <row r="66" spans="1:29" x14ac:dyDescent="0.25">
      <c r="A66" s="1" t="s">
        <v>69</v>
      </c>
      <c r="B66" s="2">
        <v>136781290</v>
      </c>
      <c r="D66" s="2">
        <f>88519+2341116</f>
        <v>2429635</v>
      </c>
      <c r="F66" s="2">
        <f>643798+179614</f>
        <v>823412</v>
      </c>
      <c r="G66" s="2">
        <v>4764411</v>
      </c>
      <c r="H66" s="2">
        <f>10655082-G66</f>
        <v>5890671</v>
      </c>
      <c r="I66" s="2">
        <f>2861156-F66</f>
        <v>2037744</v>
      </c>
      <c r="K66" s="2">
        <f>19128180+5204882</f>
        <v>24333062</v>
      </c>
      <c r="L66" s="2">
        <v>17674163</v>
      </c>
      <c r="N66" s="2">
        <v>10668032</v>
      </c>
      <c r="O66" s="2">
        <v>7016830</v>
      </c>
      <c r="P66" s="2">
        <v>2617176</v>
      </c>
      <c r="Q66" s="2">
        <f>437727+403997+153683</f>
        <v>995407</v>
      </c>
      <c r="R66" s="2">
        <v>16445584</v>
      </c>
      <c r="S66" s="2">
        <v>20924816</v>
      </c>
      <c r="T66" s="2">
        <f t="shared" si="2"/>
        <v>253402233</v>
      </c>
      <c r="W66" s="23">
        <v>6340</v>
      </c>
      <c r="X66" s="4">
        <v>60.6</v>
      </c>
      <c r="Y66" s="6">
        <f t="shared" si="4"/>
        <v>3.996880646687697E-2</v>
      </c>
      <c r="AA66" s="6">
        <f t="shared" si="3"/>
        <v>3.5331952281864587E-2</v>
      </c>
      <c r="AB66" s="2">
        <f t="shared" si="5"/>
        <v>200656882.03254285</v>
      </c>
      <c r="AC66" s="6">
        <v>4.2000000000000003E-2</v>
      </c>
    </row>
    <row r="67" spans="1:29" x14ac:dyDescent="0.25">
      <c r="A67" s="1" t="s">
        <v>70</v>
      </c>
      <c r="B67" s="2">
        <v>147391057</v>
      </c>
      <c r="D67" s="2">
        <f>96535+2518141</f>
        <v>2614676</v>
      </c>
      <c r="F67" s="2">
        <f>719848+180017</f>
        <v>899865</v>
      </c>
      <c r="G67" s="2">
        <v>5372966</v>
      </c>
      <c r="H67" s="2">
        <f>11501407-G67</f>
        <v>6128441</v>
      </c>
      <c r="I67" s="2">
        <f>3195063-F67</f>
        <v>2295198</v>
      </c>
      <c r="K67" s="2">
        <f>20575190+5963963</f>
        <v>26539153</v>
      </c>
      <c r="L67" s="2">
        <v>19668489</v>
      </c>
      <c r="N67" s="2">
        <v>11868490</v>
      </c>
      <c r="O67" s="2">
        <v>7359897</v>
      </c>
      <c r="P67" s="2">
        <v>2881220</v>
      </c>
      <c r="Q67" s="2">
        <f>512215+495275+155687</f>
        <v>1163177</v>
      </c>
      <c r="R67" s="2">
        <v>23007087</v>
      </c>
      <c r="S67" s="2">
        <v>21006067</v>
      </c>
      <c r="T67" s="2">
        <f t="shared" si="2"/>
        <v>278195783</v>
      </c>
      <c r="W67" s="23">
        <v>7452</v>
      </c>
      <c r="X67" s="4">
        <v>65.2</v>
      </c>
      <c r="Y67" s="6">
        <f t="shared" si="4"/>
        <v>3.7331693907675795E-2</v>
      </c>
      <c r="AA67" s="6">
        <f t="shared" si="3"/>
        <v>9.7842665814235341E-2</v>
      </c>
      <c r="AB67" s="2">
        <f t="shared" si="5"/>
        <v>220120599.58969951</v>
      </c>
      <c r="AC67" s="6">
        <v>4.2000000000000003E-2</v>
      </c>
    </row>
    <row r="68" spans="1:29" x14ac:dyDescent="0.25">
      <c r="A68" s="1" t="s">
        <v>71</v>
      </c>
      <c r="B68" s="2">
        <v>160135314</v>
      </c>
      <c r="D68" s="2">
        <f>99586+2703032</f>
        <v>2802618</v>
      </c>
      <c r="F68" s="2">
        <f>859739+244258</f>
        <v>1103997</v>
      </c>
      <c r="G68" s="2">
        <v>5422714</v>
      </c>
      <c r="H68" s="2">
        <f>15814846-G68</f>
        <v>10392132</v>
      </c>
      <c r="I68" s="2">
        <f>3611937-F68</f>
        <v>2507940</v>
      </c>
      <c r="K68" s="2">
        <f>22784105+7106255</f>
        <v>29890360</v>
      </c>
      <c r="L68" s="2">
        <v>22593594</v>
      </c>
      <c r="N68" s="2">
        <v>13057818</v>
      </c>
      <c r="O68" s="2">
        <v>9013404</v>
      </c>
      <c r="P68" s="2">
        <v>3154603</v>
      </c>
      <c r="Q68" s="2">
        <f>463405+569346+169888</f>
        <v>1202639</v>
      </c>
      <c r="R68" s="2">
        <v>18888903</v>
      </c>
      <c r="S68" s="2">
        <v>24836484</v>
      </c>
      <c r="T68" s="2">
        <f t="shared" si="2"/>
        <v>305002520</v>
      </c>
      <c r="W68" s="23">
        <v>8429</v>
      </c>
      <c r="X68" s="4">
        <v>72.599999999999994</v>
      </c>
      <c r="Y68" s="6">
        <f t="shared" si="4"/>
        <v>3.6184899750860124E-2</v>
      </c>
      <c r="AA68" s="6">
        <f t="shared" si="3"/>
        <v>9.6359249989062562E-2</v>
      </c>
      <c r="AB68" s="2">
        <f t="shared" si="5"/>
        <v>241472297.74990034</v>
      </c>
      <c r="AC68" s="6">
        <v>0.04</v>
      </c>
    </row>
    <row r="69" spans="1:29" x14ac:dyDescent="0.25">
      <c r="A69" s="1" t="s">
        <v>72</v>
      </c>
      <c r="B69" s="2">
        <f>206392770-C69</f>
        <v>195215361</v>
      </c>
      <c r="C69" s="2">
        <v>11177409</v>
      </c>
      <c r="D69" s="2">
        <v>5352969</v>
      </c>
      <c r="F69" s="2">
        <v>8450923</v>
      </c>
      <c r="I69" s="2">
        <f>29724854-F69</f>
        <v>21273931</v>
      </c>
      <c r="J69" s="2">
        <v>1570273</v>
      </c>
      <c r="K69" s="2">
        <v>33794878</v>
      </c>
      <c r="N69" s="2">
        <v>15299387</v>
      </c>
      <c r="O69" s="2">
        <v>11577004</v>
      </c>
      <c r="Q69" s="2">
        <v>1350958</v>
      </c>
      <c r="R69" s="2">
        <v>19817709</v>
      </c>
      <c r="S69" s="2">
        <v>21612711</v>
      </c>
      <c r="T69" s="2">
        <f t="shared" si="2"/>
        <v>346493513</v>
      </c>
      <c r="W69" s="23">
        <v>9365</v>
      </c>
      <c r="X69" s="4">
        <v>82.4</v>
      </c>
      <c r="Y69" s="6">
        <f t="shared" si="4"/>
        <v>3.6998773411639083E-2</v>
      </c>
      <c r="Z69" s="6">
        <f t="shared" ref="Z69:Z90" si="6">C69/T69</f>
        <v>3.2258638562159749E-2</v>
      </c>
      <c r="AA69" s="6">
        <f t="shared" si="3"/>
        <v>0.13603491866231138</v>
      </c>
      <c r="AB69" s="2">
        <f t="shared" si="5"/>
        <v>264895110.63164067</v>
      </c>
      <c r="AC69" s="6">
        <v>3.9E-2</v>
      </c>
    </row>
    <row r="70" spans="1:29" x14ac:dyDescent="0.25">
      <c r="A70" s="1" t="s">
        <v>73</v>
      </c>
      <c r="B70" s="2">
        <f>220343509-C70</f>
        <v>195643201</v>
      </c>
      <c r="C70" s="2">
        <v>24700308</v>
      </c>
      <c r="D70" s="2">
        <v>12119210</v>
      </c>
      <c r="F70" s="2">
        <v>9333807</v>
      </c>
      <c r="I70" s="2">
        <f>32435856-F70</f>
        <v>23102049</v>
      </c>
      <c r="J70" s="2">
        <v>4552693</v>
      </c>
      <c r="K70" s="2">
        <v>42205328</v>
      </c>
      <c r="N70" s="2">
        <v>18882019</v>
      </c>
      <c r="O70" s="2">
        <v>18262010</v>
      </c>
      <c r="Q70" s="2">
        <v>1538144</v>
      </c>
      <c r="R70" s="2">
        <v>21126501</v>
      </c>
      <c r="S70" s="2">
        <v>17846237</v>
      </c>
      <c r="T70" s="2">
        <f t="shared" si="2"/>
        <v>389311507</v>
      </c>
      <c r="W70" s="23">
        <v>10562</v>
      </c>
      <c r="X70" s="4">
        <v>90.9</v>
      </c>
      <c r="Y70" s="6">
        <f t="shared" si="4"/>
        <v>3.6859638988827874E-2</v>
      </c>
      <c r="Z70" s="6">
        <f t="shared" si="6"/>
        <v>6.3446128757761067E-2</v>
      </c>
      <c r="AA70" s="6">
        <f t="shared" si="3"/>
        <v>0.12357516776944681</v>
      </c>
      <c r="AB70" s="2">
        <f t="shared" si="5"/>
        <v>290589936.36290979</v>
      </c>
      <c r="AC70" s="6">
        <v>3.9E-2</v>
      </c>
    </row>
    <row r="71" spans="1:29" x14ac:dyDescent="0.25">
      <c r="A71" s="1" t="s">
        <v>74</v>
      </c>
      <c r="B71" s="2">
        <f>239274013-C71</f>
        <v>207790727</v>
      </c>
      <c r="C71" s="2">
        <v>31483286</v>
      </c>
      <c r="D71" s="2">
        <v>13982916</v>
      </c>
      <c r="F71" s="2">
        <v>10423079</v>
      </c>
      <c r="I71" s="2">
        <f>36908746-F71</f>
        <v>26485667</v>
      </c>
      <c r="J71" s="2">
        <v>6799942</v>
      </c>
      <c r="K71" s="2">
        <v>46801311</v>
      </c>
      <c r="N71" s="2">
        <v>20910240</v>
      </c>
      <c r="O71" s="2">
        <v>16992591</v>
      </c>
      <c r="Q71" s="2">
        <v>1761709</v>
      </c>
      <c r="R71" s="2">
        <v>19119512</v>
      </c>
      <c r="S71" s="2">
        <v>20894124</v>
      </c>
      <c r="T71" s="2">
        <f t="shared" si="2"/>
        <v>423445104</v>
      </c>
      <c r="W71" s="23">
        <v>11463</v>
      </c>
      <c r="X71" s="4">
        <v>96.5</v>
      </c>
      <c r="Y71" s="6">
        <f t="shared" si="4"/>
        <v>3.6940164354880921E-2</v>
      </c>
      <c r="Z71" s="6">
        <f t="shared" si="6"/>
        <v>7.4350336566885888E-2</v>
      </c>
      <c r="AA71" s="6">
        <f t="shared" si="3"/>
        <v>8.7676825334628491E-2</v>
      </c>
      <c r="AB71" s="2">
        <f t="shared" si="5"/>
        <v>318777160.19011205</v>
      </c>
      <c r="AC71" s="6">
        <v>3.7999999999999999E-2</v>
      </c>
    </row>
    <row r="72" spans="1:29" x14ac:dyDescent="0.25">
      <c r="A72" s="1" t="s">
        <v>75</v>
      </c>
      <c r="B72" s="2">
        <f>263129587-C72</f>
        <v>225938315</v>
      </c>
      <c r="C72" s="2">
        <v>37191272</v>
      </c>
      <c r="D72" s="2">
        <v>15584265</v>
      </c>
      <c r="F72" s="2">
        <v>11832907</v>
      </c>
      <c r="I72" s="2">
        <f>40195705-F72</f>
        <v>28362798</v>
      </c>
      <c r="J72" s="2">
        <v>6090673</v>
      </c>
      <c r="K72" s="2">
        <v>46775708</v>
      </c>
      <c r="N72" s="2">
        <v>22508458</v>
      </c>
      <c r="O72" s="2">
        <v>18269955</v>
      </c>
      <c r="Q72" s="2">
        <v>1715802</v>
      </c>
      <c r="R72" s="2">
        <v>16340077</v>
      </c>
      <c r="S72" s="2">
        <v>20421790</v>
      </c>
      <c r="T72" s="2">
        <f t="shared" si="2"/>
        <v>451032020</v>
      </c>
      <c r="W72" s="23">
        <v>12714</v>
      </c>
      <c r="X72" s="4">
        <v>99.6</v>
      </c>
      <c r="Y72" s="6">
        <f t="shared" si="4"/>
        <v>3.5475225735409788E-2</v>
      </c>
      <c r="Z72" s="6">
        <f t="shared" si="6"/>
        <v>8.2458163391592468E-2</v>
      </c>
      <c r="AA72" s="6">
        <f t="shared" si="3"/>
        <v>6.5148742397550544E-2</v>
      </c>
      <c r="AB72" s="2">
        <f t="shared" si="5"/>
        <v>349698544.72855294</v>
      </c>
      <c r="AC72" s="6">
        <v>3.7999999999999999E-2</v>
      </c>
    </row>
    <row r="73" spans="1:29" x14ac:dyDescent="0.25">
      <c r="A73" s="1" t="s">
        <v>76</v>
      </c>
      <c r="B73" s="2">
        <f>285309691-C73</f>
        <v>242168217</v>
      </c>
      <c r="C73" s="2">
        <v>43141474</v>
      </c>
      <c r="D73" s="2">
        <v>17059943</v>
      </c>
      <c r="F73" s="2">
        <v>11983654</v>
      </c>
      <c r="I73" s="2">
        <f>41538847-F73</f>
        <v>29555193</v>
      </c>
      <c r="J73" s="2">
        <v>7078377</v>
      </c>
      <c r="K73" s="2">
        <v>47877074</v>
      </c>
      <c r="N73" s="2">
        <v>23161466</v>
      </c>
      <c r="O73" s="2">
        <v>19325210</v>
      </c>
      <c r="Q73" s="2">
        <v>912955</v>
      </c>
      <c r="R73" s="2">
        <v>6181409</v>
      </c>
      <c r="S73" s="2">
        <v>21505864</v>
      </c>
      <c r="T73" s="2">
        <f t="shared" si="2"/>
        <v>469950836</v>
      </c>
      <c r="W73" s="23">
        <v>14947</v>
      </c>
      <c r="X73" s="4">
        <v>103.9</v>
      </c>
      <c r="Y73" s="6">
        <f t="shared" si="4"/>
        <v>3.144114778885395E-2</v>
      </c>
      <c r="Z73" s="6">
        <f t="shared" si="6"/>
        <v>9.1799972880567446E-2</v>
      </c>
      <c r="AA73" s="6">
        <f t="shared" si="3"/>
        <v>4.1945616189289624E-2</v>
      </c>
      <c r="AB73" s="2">
        <f t="shared" si="5"/>
        <v>383619303.56722254</v>
      </c>
      <c r="AC73" s="6">
        <v>3.7999999999999999E-2</v>
      </c>
    </row>
    <row r="74" spans="1:29" x14ac:dyDescent="0.25">
      <c r="A74" s="1" t="s">
        <v>77</v>
      </c>
      <c r="B74" s="2">
        <f>315978878-C74</f>
        <v>266954194</v>
      </c>
      <c r="C74" s="2">
        <v>49024684</v>
      </c>
      <c r="D74" s="2">
        <v>19052905</v>
      </c>
      <c r="F74" s="2">
        <v>13025100</v>
      </c>
      <c r="I74" s="2">
        <f>45356655-F74</f>
        <v>32331555</v>
      </c>
      <c r="J74" s="2">
        <v>8175272</v>
      </c>
      <c r="K74" s="2">
        <v>50393791</v>
      </c>
      <c r="N74" s="2">
        <v>25406903</v>
      </c>
      <c r="O74" s="2">
        <v>21236416</v>
      </c>
      <c r="Q74" s="2">
        <v>1063959</v>
      </c>
      <c r="R74" s="2">
        <v>14495661</v>
      </c>
      <c r="S74" s="2">
        <v>19781964</v>
      </c>
      <c r="T74" s="2">
        <f t="shared" si="2"/>
        <v>520942404</v>
      </c>
      <c r="W74" s="23">
        <v>16867</v>
      </c>
      <c r="X74" s="4">
        <v>107.6</v>
      </c>
      <c r="Y74" s="6">
        <f t="shared" si="4"/>
        <v>3.088530289915219E-2</v>
      </c>
      <c r="Z74" s="6">
        <f t="shared" si="6"/>
        <v>9.410768565501533E-2</v>
      </c>
      <c r="AA74" s="6">
        <f t="shared" si="3"/>
        <v>0.10850404785746567</v>
      </c>
      <c r="AB74" s="2">
        <f t="shared" si="5"/>
        <v>420830376.01324314</v>
      </c>
      <c r="AC74" s="6">
        <v>3.6999999999999998E-2</v>
      </c>
    </row>
    <row r="75" spans="1:29" x14ac:dyDescent="0.25">
      <c r="A75" s="1" t="s">
        <v>78</v>
      </c>
      <c r="B75" s="2">
        <f>350939213-C75</f>
        <v>296327024</v>
      </c>
      <c r="C75" s="2">
        <v>54612189</v>
      </c>
      <c r="D75" s="2">
        <v>21682723</v>
      </c>
      <c r="F75" s="2">
        <v>15184150</v>
      </c>
      <c r="I75" s="2">
        <f>50461276-F75</f>
        <v>35277126</v>
      </c>
      <c r="J75" s="2">
        <v>10622737</v>
      </c>
      <c r="K75" s="2">
        <v>52041156</v>
      </c>
      <c r="N75" s="2">
        <v>27036584</v>
      </c>
      <c r="O75" s="2">
        <v>22407044</v>
      </c>
      <c r="Q75" s="2">
        <v>1572420</v>
      </c>
      <c r="R75" s="2">
        <v>36316166</v>
      </c>
      <c r="S75" s="2">
        <v>20961830</v>
      </c>
      <c r="T75" s="2">
        <f t="shared" si="2"/>
        <v>594041149</v>
      </c>
      <c r="W75" s="23">
        <v>18773</v>
      </c>
      <c r="X75" s="4">
        <v>109.6</v>
      </c>
      <c r="Y75" s="6">
        <f t="shared" si="4"/>
        <v>3.1643378735417886E-2</v>
      </c>
      <c r="Z75" s="6">
        <f t="shared" si="6"/>
        <v>9.1933343493011119E-2</v>
      </c>
      <c r="AA75" s="6">
        <f t="shared" si="3"/>
        <v>0.14032020514882101</v>
      </c>
      <c r="AB75" s="2">
        <f t="shared" si="5"/>
        <v>461650922.48652774</v>
      </c>
      <c r="AC75" s="6">
        <v>3.6999999999999998E-2</v>
      </c>
    </row>
    <row r="76" spans="1:29" x14ac:dyDescent="0.25">
      <c r="A76" s="1" t="s">
        <v>79</v>
      </c>
      <c r="B76" s="2">
        <f>397647781-C76</f>
        <v>333920983</v>
      </c>
      <c r="C76" s="2">
        <v>63726798</v>
      </c>
      <c r="D76" s="2">
        <v>26100966</v>
      </c>
      <c r="F76" s="2">
        <v>16420836</v>
      </c>
      <c r="I76" s="2">
        <f>57378740-F76</f>
        <v>40957904</v>
      </c>
      <c r="J76" s="2">
        <v>12395830</v>
      </c>
      <c r="K76" s="2">
        <v>57696449</v>
      </c>
      <c r="N76" s="2">
        <v>29882919</v>
      </c>
      <c r="O76" s="2">
        <v>23858648</v>
      </c>
      <c r="Q76" s="2">
        <v>2267383</v>
      </c>
      <c r="R76" s="2">
        <v>61837950</v>
      </c>
      <c r="S76" s="2">
        <v>25321447</v>
      </c>
      <c r="T76" s="2">
        <f t="shared" si="2"/>
        <v>694388113</v>
      </c>
      <c r="W76" s="23">
        <v>21463</v>
      </c>
      <c r="X76" s="4">
        <v>113.6</v>
      </c>
      <c r="Y76" s="6">
        <f t="shared" si="4"/>
        <v>3.2352798443833576E-2</v>
      </c>
      <c r="Z76" s="6">
        <f t="shared" si="6"/>
        <v>9.1774033579978639E-2</v>
      </c>
      <c r="AA76" s="6">
        <f t="shared" si="3"/>
        <v>0.16892258081603032</v>
      </c>
      <c r="AB76" s="2">
        <f t="shared" si="5"/>
        <v>506431061.96772093</v>
      </c>
      <c r="AC76" s="6">
        <v>3.7999999999999999E-2</v>
      </c>
    </row>
    <row r="77" spans="1:29" x14ac:dyDescent="0.25">
      <c r="A77" s="1" t="s">
        <v>80</v>
      </c>
      <c r="B77" s="2">
        <f>458642919-C77</f>
        <v>382160936</v>
      </c>
      <c r="C77" s="2">
        <v>76481983</v>
      </c>
      <c r="D77" s="2">
        <v>30162422</v>
      </c>
      <c r="F77" s="2">
        <v>18846042</v>
      </c>
      <c r="I77" s="2">
        <f>66099033-F77</f>
        <v>47252991</v>
      </c>
      <c r="J77" s="2">
        <v>14663798</v>
      </c>
      <c r="K77" s="2">
        <v>63898708</v>
      </c>
      <c r="N77" s="2">
        <v>33573302</v>
      </c>
      <c r="O77" s="2">
        <v>25977592</v>
      </c>
      <c r="Q77" s="2">
        <v>2926461</v>
      </c>
      <c r="R77" s="2">
        <v>80747737</v>
      </c>
      <c r="S77" s="2">
        <v>33355676</v>
      </c>
      <c r="T77" s="2">
        <f t="shared" si="2"/>
        <v>810047648</v>
      </c>
      <c r="U77" s="2">
        <f>T77-R77</f>
        <v>729299911</v>
      </c>
      <c r="W77" s="23">
        <v>23171</v>
      </c>
      <c r="X77" s="4">
        <v>118.3</v>
      </c>
      <c r="Y77" s="6">
        <f t="shared" si="4"/>
        <v>3.4959546329463555E-2</v>
      </c>
      <c r="Z77" s="6">
        <f t="shared" si="6"/>
        <v>9.4416647204437043E-2</v>
      </c>
      <c r="AA77" s="6">
        <f t="shared" si="3"/>
        <v>0.16656324155710309</v>
      </c>
      <c r="AB77" s="2">
        <f t="shared" si="5"/>
        <v>555554874.97858989</v>
      </c>
      <c r="AC77" s="6">
        <v>3.9E-2</v>
      </c>
    </row>
    <row r="78" spans="1:29" x14ac:dyDescent="0.25">
      <c r="A78" s="1" t="s">
        <v>81</v>
      </c>
      <c r="B78" s="2">
        <f>526869994-C78</f>
        <v>434689760</v>
      </c>
      <c r="C78" s="2">
        <v>92180234</v>
      </c>
      <c r="D78" s="2">
        <v>37089074</v>
      </c>
      <c r="F78" s="2">
        <v>20918135</v>
      </c>
      <c r="I78" s="2">
        <f>74612977-F78</f>
        <v>53694842</v>
      </c>
      <c r="J78" s="2">
        <v>17732908</v>
      </c>
      <c r="K78" s="2">
        <v>73336221</v>
      </c>
      <c r="N78" s="2">
        <v>37400551</v>
      </c>
      <c r="O78" s="2">
        <v>27690597</v>
      </c>
      <c r="Q78" s="2">
        <v>3919715</v>
      </c>
      <c r="R78" s="2">
        <v>98706599</v>
      </c>
      <c r="S78" s="2">
        <v>36533208</v>
      </c>
      <c r="T78" s="2">
        <f t="shared" si="2"/>
        <v>933891844</v>
      </c>
      <c r="U78" s="2">
        <f>T78-R78</f>
        <v>835185245</v>
      </c>
      <c r="W78" s="23">
        <v>23885</v>
      </c>
      <c r="X78" s="4">
        <v>124</v>
      </c>
      <c r="Y78" s="6">
        <f t="shared" si="4"/>
        <v>3.9099511994975925E-2</v>
      </c>
      <c r="Z78" s="6">
        <f t="shared" si="6"/>
        <v>9.8705470651909877E-2</v>
      </c>
      <c r="AA78" s="6">
        <f t="shared" si="3"/>
        <v>0.15288507571841009</v>
      </c>
      <c r="AB78" s="2">
        <f t="shared" si="5"/>
        <v>609443697.85151315</v>
      </c>
      <c r="AC78" s="6">
        <v>0.04</v>
      </c>
    </row>
    <row r="79" spans="1:29" x14ac:dyDescent="0.25">
      <c r="A79" s="1" t="s">
        <v>82</v>
      </c>
      <c r="B79" s="2">
        <f>589852016-C79</f>
        <v>484094792</v>
      </c>
      <c r="C79" s="2">
        <v>105757224</v>
      </c>
      <c r="D79" s="2">
        <v>42144642</v>
      </c>
      <c r="F79" s="2">
        <v>23553007</v>
      </c>
      <c r="I79" s="2">
        <f>82506472-F79</f>
        <v>58953465</v>
      </c>
      <c r="J79" s="2">
        <v>19965129</v>
      </c>
      <c r="K79" s="2">
        <v>79632310</v>
      </c>
      <c r="N79" s="2">
        <v>40380092</v>
      </c>
      <c r="O79" s="2">
        <v>29542584</v>
      </c>
      <c r="Q79" s="2">
        <v>2583710</v>
      </c>
      <c r="R79" s="2">
        <v>97461899</v>
      </c>
      <c r="S79" s="2">
        <v>48290530</v>
      </c>
      <c r="T79" s="2">
        <f t="shared" si="2"/>
        <v>1032359384</v>
      </c>
      <c r="U79" s="2">
        <f>T79-R79</f>
        <v>934897485</v>
      </c>
      <c r="W79" s="23">
        <v>23784</v>
      </c>
      <c r="X79" s="21">
        <v>130.69999999999999</v>
      </c>
      <c r="Y79" s="6">
        <f t="shared" si="4"/>
        <v>4.3405624957954927E-2</v>
      </c>
      <c r="Z79" s="6">
        <f t="shared" si="6"/>
        <v>0.10244225570966477</v>
      </c>
      <c r="AA79" s="6">
        <f t="shared" si="3"/>
        <v>0.10543784125820034</v>
      </c>
      <c r="AB79" s="2">
        <f t="shared" si="5"/>
        <v>668559736.54310989</v>
      </c>
      <c r="AC79" s="6">
        <v>4.1000000000000002E-2</v>
      </c>
    </row>
    <row r="80" spans="1:29" x14ac:dyDescent="0.25">
      <c r="A80" s="1" t="s">
        <v>83</v>
      </c>
      <c r="B80" s="2">
        <f>638882137-C80</f>
        <v>522867774</v>
      </c>
      <c r="C80" s="2">
        <v>116014363</v>
      </c>
      <c r="D80" s="2">
        <v>46301643</v>
      </c>
      <c r="F80" s="2">
        <v>25646875</v>
      </c>
      <c r="I80" s="2">
        <f>89301437-F80</f>
        <v>63654562</v>
      </c>
      <c r="J80" s="2">
        <v>21213780</v>
      </c>
      <c r="K80" s="2">
        <v>80896882</v>
      </c>
      <c r="N80" s="2">
        <v>42376246</v>
      </c>
      <c r="O80" s="2">
        <v>29290859</v>
      </c>
      <c r="Q80" s="2">
        <v>2996369</v>
      </c>
      <c r="R80" s="2">
        <v>74805898</v>
      </c>
      <c r="S80" s="2">
        <v>57741736</v>
      </c>
      <c r="T80" s="2">
        <f t="shared" si="2"/>
        <v>1083806987</v>
      </c>
      <c r="U80" s="2">
        <f>T80-R80</f>
        <v>1009001089</v>
      </c>
      <c r="W80" s="23">
        <v>24778</v>
      </c>
      <c r="X80" s="21">
        <v>136.19999999999999</v>
      </c>
      <c r="Y80" s="6">
        <f t="shared" si="4"/>
        <v>4.3740696868189523E-2</v>
      </c>
      <c r="Z80" s="6">
        <f t="shared" si="6"/>
        <v>0.1070433798559743</v>
      </c>
      <c r="AA80" s="6">
        <f t="shared" si="3"/>
        <v>4.9834973941593967E-2</v>
      </c>
      <c r="AB80" s="2">
        <f t="shared" si="5"/>
        <v>733410030.98779154</v>
      </c>
      <c r="AC80" s="6">
        <v>4.2000000000000003E-2</v>
      </c>
    </row>
    <row r="81" spans="1:32" x14ac:dyDescent="0.25">
      <c r="A81" s="1" t="s">
        <v>84</v>
      </c>
      <c r="B81" s="2">
        <f>662050830-C81</f>
        <v>539216659</v>
      </c>
      <c r="C81" s="2">
        <v>122834171</v>
      </c>
      <c r="D81" s="2">
        <v>48184601</v>
      </c>
      <c r="F81" s="2">
        <v>26617028</v>
      </c>
      <c r="I81" s="2">
        <f>91381559-F81</f>
        <v>64764531</v>
      </c>
      <c r="J81" s="2">
        <v>24445171</v>
      </c>
      <c r="K81" s="2">
        <v>83111298</v>
      </c>
      <c r="N81" s="2">
        <v>43391730</v>
      </c>
      <c r="O81" s="2">
        <v>30550841</v>
      </c>
      <c r="Q81" s="2">
        <v>3255299</v>
      </c>
      <c r="R81" s="2">
        <v>53849517</v>
      </c>
      <c r="S81" s="2">
        <v>64978565</v>
      </c>
      <c r="T81" s="2">
        <f t="shared" si="2"/>
        <v>1105199411</v>
      </c>
      <c r="U81" s="2">
        <f t="shared" ref="U81:U86" si="7">T81-R81</f>
        <v>1051349894</v>
      </c>
      <c r="W81" s="23">
        <v>26555</v>
      </c>
      <c r="X81" s="21">
        <v>140.30000000000001</v>
      </c>
      <c r="Y81" s="6">
        <f t="shared" si="4"/>
        <v>4.1619258557710412E-2</v>
      </c>
      <c r="Z81" s="6">
        <f t="shared" si="6"/>
        <v>0.11114208872845663</v>
      </c>
      <c r="AA81" s="6">
        <f t="shared" si="3"/>
        <v>1.9738223001509399E-2</v>
      </c>
      <c r="AB81" s="2">
        <f t="shared" si="5"/>
        <v>804550803.99360728</v>
      </c>
      <c r="AC81" s="6">
        <v>4.2999999999999997E-2</v>
      </c>
    </row>
    <row r="82" spans="1:32" x14ac:dyDescent="0.25">
      <c r="A82" s="1" t="s">
        <v>85</v>
      </c>
      <c r="B82" s="2">
        <f>695631098-C82</f>
        <v>563056478</v>
      </c>
      <c r="C82" s="2">
        <v>132574620</v>
      </c>
      <c r="D82" s="2">
        <v>51083104</v>
      </c>
      <c r="F82" s="2">
        <v>27725525</v>
      </c>
      <c r="I82" s="2">
        <f>94754665-F82</f>
        <v>67029140</v>
      </c>
      <c r="J82" s="2">
        <v>26672807</v>
      </c>
      <c r="K82" s="2">
        <v>85409782</v>
      </c>
      <c r="N82" s="2">
        <v>44083315</v>
      </c>
      <c r="O82" s="2">
        <v>32176109</v>
      </c>
      <c r="Q82" s="2">
        <v>3114214</v>
      </c>
      <c r="R82" s="2">
        <v>32164175</v>
      </c>
      <c r="S82" s="2">
        <v>61222716</v>
      </c>
      <c r="T82" s="2">
        <f t="shared" si="2"/>
        <v>1126311985</v>
      </c>
      <c r="U82" s="2">
        <f t="shared" si="7"/>
        <v>1094147810</v>
      </c>
      <c r="W82" s="23">
        <v>27612</v>
      </c>
      <c r="X82" s="22">
        <v>144.5</v>
      </c>
      <c r="Y82" s="6">
        <f t="shared" si="4"/>
        <v>4.0790670179632046E-2</v>
      </c>
      <c r="Z82" s="6">
        <f t="shared" si="6"/>
        <v>0.11770683590834737</v>
      </c>
      <c r="AA82" s="6">
        <f t="shared" si="3"/>
        <v>1.9102954444118862E-2</v>
      </c>
      <c r="AB82" s="2">
        <f t="shared" si="5"/>
        <v>882592231.98098719</v>
      </c>
      <c r="AC82" s="6">
        <v>4.2000000000000003E-2</v>
      </c>
    </row>
    <row r="83" spans="1:32" x14ac:dyDescent="0.25">
      <c r="A83" s="1" t="s">
        <v>86</v>
      </c>
      <c r="B83" s="2">
        <f>697117432-C83</f>
        <v>558996205</v>
      </c>
      <c r="C83" s="2">
        <v>138121227</v>
      </c>
      <c r="D83" s="2">
        <v>52980504</v>
      </c>
      <c r="E83" s="2">
        <v>25414326</v>
      </c>
      <c r="F83" s="2">
        <v>28002266</v>
      </c>
      <c r="I83" s="2">
        <f>96567945-F83</f>
        <v>68565679</v>
      </c>
      <c r="J83" s="2">
        <v>27259998</v>
      </c>
      <c r="K83" s="2">
        <v>90809342</v>
      </c>
      <c r="N83" s="2">
        <v>44804578</v>
      </c>
      <c r="O83" s="2">
        <v>34300688</v>
      </c>
      <c r="Q83" s="2">
        <v>5058583</v>
      </c>
      <c r="R83" s="2">
        <v>22216953</v>
      </c>
      <c r="S83" s="2">
        <v>59283773</v>
      </c>
      <c r="T83" s="2">
        <f t="shared" si="2"/>
        <v>1155814122</v>
      </c>
      <c r="U83" s="2">
        <f t="shared" si="7"/>
        <v>1133597169</v>
      </c>
      <c r="W83" s="23">
        <v>29456</v>
      </c>
      <c r="X83" s="22">
        <v>148.19999999999999</v>
      </c>
      <c r="Y83" s="6">
        <f t="shared" si="4"/>
        <v>3.9238665195545898E-2</v>
      </c>
      <c r="Z83" s="6">
        <f t="shared" si="6"/>
        <v>0.11950124537412427</v>
      </c>
      <c r="AA83" s="6">
        <f t="shared" si="3"/>
        <v>2.6193574598249524E-2</v>
      </c>
      <c r="AB83" s="2">
        <f t="shared" si="5"/>
        <v>968203678.48314297</v>
      </c>
      <c r="AC83" s="6">
        <v>4.178211493450798E-2</v>
      </c>
    </row>
    <row r="84" spans="1:32" x14ac:dyDescent="0.25">
      <c r="A84" s="1" t="s">
        <v>87</v>
      </c>
      <c r="B84" s="2">
        <f>733711669-C84</f>
        <v>581621209</v>
      </c>
      <c r="C84" s="2">
        <v>152090460</v>
      </c>
      <c r="D84" s="2">
        <v>57379546</v>
      </c>
      <c r="E84" s="2">
        <v>26727750</v>
      </c>
      <c r="F84" s="2">
        <v>28728151</v>
      </c>
      <c r="I84" s="2">
        <f>100732063-F84</f>
        <v>72003912</v>
      </c>
      <c r="J84" s="2">
        <v>25488729</v>
      </c>
      <c r="K84" s="2">
        <v>93539741</v>
      </c>
      <c r="N84" s="2">
        <v>45777050</v>
      </c>
      <c r="O84" s="2">
        <v>36514510</v>
      </c>
      <c r="Q84" s="2">
        <v>3899054</v>
      </c>
      <c r="R84" s="2">
        <v>66389353</v>
      </c>
      <c r="S84" s="2">
        <v>60597284</v>
      </c>
      <c r="T84" s="2">
        <f t="shared" si="2"/>
        <v>1250756749</v>
      </c>
      <c r="U84" s="2">
        <f t="shared" si="7"/>
        <v>1184367396</v>
      </c>
      <c r="W84" s="23">
        <v>32149</v>
      </c>
      <c r="X84" s="22">
        <v>152.4</v>
      </c>
      <c r="Y84" s="6">
        <f t="shared" si="4"/>
        <v>3.8904997013904007E-2</v>
      </c>
      <c r="Z84" s="6">
        <f t="shared" si="6"/>
        <v>0.12159875221268944</v>
      </c>
      <c r="AA84" s="6">
        <f t="shared" si="3"/>
        <v>8.2143508365958517E-2</v>
      </c>
      <c r="AB84" s="2">
        <f t="shared" si="5"/>
        <v>1062119435.2960079</v>
      </c>
      <c r="AC84" s="6">
        <v>4.1347460321803864E-2</v>
      </c>
    </row>
    <row r="85" spans="1:32" x14ac:dyDescent="0.25">
      <c r="A85" s="1" t="s">
        <v>88</v>
      </c>
      <c r="B85" s="2">
        <f>783176793-C85</f>
        <v>613170092</v>
      </c>
      <c r="C85" s="2">
        <v>170006701</v>
      </c>
      <c r="D85" s="2">
        <v>60992675</v>
      </c>
      <c r="E85" s="2">
        <v>27809831</v>
      </c>
      <c r="F85" s="2">
        <v>29711387</v>
      </c>
      <c r="I85" s="2">
        <f>104661064-F85</f>
        <v>74949677</v>
      </c>
      <c r="J85" s="2">
        <v>27241447</v>
      </c>
      <c r="K85" s="2">
        <v>95590454</v>
      </c>
      <c r="N85" s="2">
        <v>46915776</v>
      </c>
      <c r="O85" s="2">
        <v>38076210</v>
      </c>
      <c r="Q85" s="2">
        <v>4387170</v>
      </c>
      <c r="R85" s="2">
        <v>81160241</v>
      </c>
      <c r="S85" s="2">
        <v>66584685</v>
      </c>
      <c r="T85" s="2">
        <f t="shared" si="2"/>
        <v>1336596346</v>
      </c>
      <c r="U85" s="2">
        <f t="shared" si="7"/>
        <v>1255436105</v>
      </c>
      <c r="W85" s="23">
        <v>34823</v>
      </c>
      <c r="X85" s="22">
        <v>156.9</v>
      </c>
      <c r="Y85" s="6">
        <f t="shared" si="4"/>
        <v>3.8382573184389625E-2</v>
      </c>
      <c r="Z85" s="6">
        <f t="shared" si="6"/>
        <v>0.12719374963785812</v>
      </c>
      <c r="AA85" s="6">
        <f t="shared" si="3"/>
        <v>6.8630128974822749E-2</v>
      </c>
      <c r="AB85" s="2">
        <f t="shared" si="5"/>
        <v>1165145020.5197206</v>
      </c>
      <c r="AC85" s="6">
        <v>4.2000000000000003E-2</v>
      </c>
    </row>
    <row r="86" spans="1:32" x14ac:dyDescent="0.25">
      <c r="A86" s="1" t="s">
        <v>89</v>
      </c>
      <c r="B86" s="2">
        <f>825283419-C86</f>
        <v>641136019</v>
      </c>
      <c r="C86" s="2">
        <v>184147400</v>
      </c>
      <c r="D86" s="2">
        <v>63412777</v>
      </c>
      <c r="E86" s="2">
        <v>31139404</v>
      </c>
      <c r="F86" s="2">
        <v>30535945</v>
      </c>
      <c r="I86" s="2">
        <f>109675830-F86</f>
        <v>79139885</v>
      </c>
      <c r="J86" s="2">
        <v>31346176</v>
      </c>
      <c r="K86" s="2">
        <v>100115530</v>
      </c>
      <c r="N86" s="2">
        <v>49182899</v>
      </c>
      <c r="O86" s="2">
        <v>40392039</v>
      </c>
      <c r="Q86" s="2">
        <v>3088518</v>
      </c>
      <c r="R86" s="2">
        <v>110912250</v>
      </c>
      <c r="S86" s="2">
        <v>65947675</v>
      </c>
      <c r="T86" s="2">
        <f t="shared" si="2"/>
        <v>1430496517</v>
      </c>
      <c r="U86" s="2">
        <f t="shared" si="7"/>
        <v>1319584267</v>
      </c>
      <c r="W86" s="34">
        <v>36569</v>
      </c>
      <c r="X86" s="22">
        <v>160.5</v>
      </c>
      <c r="Y86" s="6">
        <f t="shared" si="4"/>
        <v>3.9117736798928056E-2</v>
      </c>
      <c r="Z86" s="6">
        <f t="shared" si="6"/>
        <v>0.12872970874909162</v>
      </c>
      <c r="AA86" s="6">
        <f t="shared" si="3"/>
        <v>7.0253200437823127E-2</v>
      </c>
      <c r="AB86" s="2">
        <f t="shared" si="5"/>
        <v>1278164087.5101335</v>
      </c>
      <c r="AC86" s="6">
        <v>4.1844769264956422E-2</v>
      </c>
    </row>
    <row r="87" spans="1:32" x14ac:dyDescent="0.25">
      <c r="A87" s="1" t="s">
        <v>90</v>
      </c>
      <c r="B87" s="2">
        <f>879432970-C87</f>
        <v>674130975</v>
      </c>
      <c r="C87" s="2">
        <v>205301995</v>
      </c>
      <c r="D87" s="2">
        <v>67653429</v>
      </c>
      <c r="E87" s="2">
        <v>34073731</v>
      </c>
      <c r="F87" s="2">
        <v>32894287</v>
      </c>
      <c r="I87" s="2">
        <f>116615993-F87</f>
        <v>83721706</v>
      </c>
      <c r="J87" s="2">
        <v>21752590</v>
      </c>
      <c r="K87" s="2">
        <v>103876033</v>
      </c>
      <c r="N87" s="2">
        <v>51700051</v>
      </c>
      <c r="O87" s="2">
        <v>42326218</v>
      </c>
      <c r="Q87" s="2">
        <v>4529384</v>
      </c>
      <c r="R87" s="2">
        <v>71145844</v>
      </c>
      <c r="S87" s="2">
        <v>75904240</v>
      </c>
      <c r="T87" s="2">
        <f t="shared" si="2"/>
        <v>1469010483</v>
      </c>
      <c r="U87" s="2">
        <v>1469010484</v>
      </c>
      <c r="W87" s="23">
        <v>38214.9</v>
      </c>
      <c r="X87" s="21">
        <v>163</v>
      </c>
      <c r="Y87" s="6">
        <f t="shared" si="4"/>
        <v>3.8440777890299337E-2</v>
      </c>
      <c r="Z87" s="6">
        <f t="shared" si="6"/>
        <v>0.13975529608252632</v>
      </c>
      <c r="AA87" s="6">
        <f t="shared" si="3"/>
        <v>2.6923495123756389E-2</v>
      </c>
      <c r="AB87" s="2">
        <f t="shared" si="5"/>
        <v>1402146003.9986165</v>
      </c>
      <c r="AC87" s="6">
        <v>4.2006737526862986E-2</v>
      </c>
    </row>
    <row r="88" spans="1:32" x14ac:dyDescent="0.25">
      <c r="A88" s="1" t="s">
        <v>120</v>
      </c>
      <c r="B88" s="2">
        <f>927386459-224422192</f>
        <v>702964267</v>
      </c>
      <c r="C88" s="2">
        <v>224422192</v>
      </c>
      <c r="D88" s="2">
        <v>72159454</v>
      </c>
      <c r="E88" s="2">
        <v>39184940</v>
      </c>
      <c r="F88" s="2">
        <v>34669179</v>
      </c>
      <c r="I88" s="2">
        <f>123462957-F88</f>
        <v>88793778</v>
      </c>
      <c r="J88" s="2">
        <v>18865267</v>
      </c>
      <c r="K88" s="2">
        <v>109030251</v>
      </c>
      <c r="N88" s="2">
        <v>54702702</v>
      </c>
      <c r="O88" s="2">
        <v>44314760</v>
      </c>
      <c r="Q88" s="2">
        <v>3351027</v>
      </c>
      <c r="R88" s="2">
        <v>63095080</v>
      </c>
      <c r="S88" s="2">
        <v>71371152</v>
      </c>
      <c r="T88" s="2">
        <f t="shared" si="2"/>
        <v>1526924049</v>
      </c>
      <c r="U88" s="2">
        <v>1526924049</v>
      </c>
      <c r="W88" s="23">
        <v>40557.800000000003</v>
      </c>
      <c r="X88" s="28">
        <v>166.6</v>
      </c>
      <c r="Y88" s="6">
        <f t="shared" si="4"/>
        <v>3.7648098491535539E-2</v>
      </c>
      <c r="Z88" s="6">
        <f t="shared" si="6"/>
        <v>0.14697665685924369</v>
      </c>
      <c r="AA88" s="6">
        <f t="shared" si="3"/>
        <v>3.9423521254749273E-2</v>
      </c>
      <c r="AB88" s="2">
        <f t="shared" si="5"/>
        <v>1538154166.3864822</v>
      </c>
      <c r="AC88" s="6">
        <v>4.2318135809532184E-2</v>
      </c>
    </row>
    <row r="89" spans="1:32" x14ac:dyDescent="0.25">
      <c r="A89" s="1" t="s">
        <v>121</v>
      </c>
      <c r="B89" s="2">
        <v>755744196.7153275</v>
      </c>
      <c r="C89" s="2">
        <v>245857165.93742552</v>
      </c>
      <c r="D89" s="2">
        <v>90618067.668012872</v>
      </c>
      <c r="E89" s="2">
        <v>42820403.013044223</v>
      </c>
      <c r="F89" s="2">
        <v>48210455.383699544</v>
      </c>
      <c r="I89" s="2">
        <v>81773314.809947491</v>
      </c>
      <c r="J89" s="2">
        <v>6231479.2707407782</v>
      </c>
      <c r="K89" s="2">
        <v>121698930.61943713</v>
      </c>
      <c r="N89" s="2">
        <v>61229392.249351218</v>
      </c>
      <c r="O89" s="2">
        <v>46946067.183700003</v>
      </c>
      <c r="Q89" s="2">
        <v>3492942.7489512106</v>
      </c>
      <c r="R89" s="5">
        <v>107150316.75000001</v>
      </c>
      <c r="S89" s="5">
        <v>77668155.930000007</v>
      </c>
      <c r="T89" s="2">
        <f t="shared" si="2"/>
        <v>1689440888.2796378</v>
      </c>
      <c r="U89" s="24"/>
      <c r="V89" s="24"/>
      <c r="W89" s="23"/>
      <c r="X89" s="28">
        <v>172.2</v>
      </c>
      <c r="Y89" s="6"/>
      <c r="Z89" s="6">
        <f t="shared" si="6"/>
        <v>0.1455257580440015</v>
      </c>
      <c r="AA89" s="6">
        <f>(T89-T88)/T88</f>
        <v>0.10643413428852073</v>
      </c>
      <c r="AB89" s="2">
        <f t="shared" si="5"/>
        <v>1687355120.5259709</v>
      </c>
      <c r="AC89" s="6"/>
    </row>
    <row r="90" spans="1:32" x14ac:dyDescent="0.25">
      <c r="A90" s="1" t="s">
        <v>125</v>
      </c>
      <c r="B90" s="2">
        <v>797128027.07404304</v>
      </c>
      <c r="C90" s="2">
        <v>266624153.45941639</v>
      </c>
      <c r="D90" s="2">
        <v>97607470.054343268</v>
      </c>
      <c r="E90" s="2">
        <v>47178383.205755129</v>
      </c>
      <c r="F90" s="2">
        <v>51922374.561489604</v>
      </c>
      <c r="I90" s="2">
        <v>88708484.746948719</v>
      </c>
      <c r="J90" s="2">
        <v>7278712.8951589484</v>
      </c>
      <c r="K90" s="2">
        <v>133192389.56578788</v>
      </c>
      <c r="N90" s="2">
        <v>66675424.797805034</v>
      </c>
      <c r="O90" s="2">
        <v>50107519.825920001</v>
      </c>
      <c r="Q90" s="2">
        <v>4212076.3756506704</v>
      </c>
      <c r="R90" s="2">
        <v>142741578.92300001</v>
      </c>
      <c r="S90" s="2">
        <v>93475755.709999993</v>
      </c>
      <c r="T90" s="2">
        <f t="shared" si="2"/>
        <v>1846852351.1953189</v>
      </c>
      <c r="W90" s="23"/>
      <c r="X90" s="28">
        <v>177.1</v>
      </c>
      <c r="Y90" s="6"/>
      <c r="Z90" s="6">
        <f t="shared" si="6"/>
        <v>0.1443667942848014</v>
      </c>
      <c r="AA90" s="6">
        <f>(T90-T89)/T89</f>
        <v>9.3173702618251197E-2</v>
      </c>
      <c r="AB90" s="2">
        <f t="shared" si="5"/>
        <v>1851028567.21699</v>
      </c>
      <c r="AC90" s="6"/>
    </row>
    <row r="91" spans="1:32" x14ac:dyDescent="0.25">
      <c r="W91" s="23"/>
      <c r="Y91" s="6"/>
    </row>
    <row r="92" spans="1:32" x14ac:dyDescent="0.25">
      <c r="A92" s="1" t="s">
        <v>160</v>
      </c>
      <c r="Y92" s="6"/>
    </row>
    <row r="93" spans="1:32" ht="39.6" x14ac:dyDescent="0.25">
      <c r="B93" s="30" t="s">
        <v>144</v>
      </c>
      <c r="C93" s="30" t="s">
        <v>145</v>
      </c>
      <c r="D93" s="30" t="s">
        <v>146</v>
      </c>
      <c r="E93" s="30" t="s">
        <v>147</v>
      </c>
      <c r="F93" s="30" t="s">
        <v>148</v>
      </c>
      <c r="G93" s="30" t="s">
        <v>149</v>
      </c>
      <c r="H93" s="30" t="s">
        <v>150</v>
      </c>
      <c r="I93" s="30" t="s">
        <v>151</v>
      </c>
      <c r="J93" s="30" t="s">
        <v>99</v>
      </c>
      <c r="K93" s="30" t="s">
        <v>152</v>
      </c>
      <c r="L93" s="30" t="s">
        <v>103</v>
      </c>
      <c r="M93" s="30" t="s">
        <v>153</v>
      </c>
      <c r="N93" s="30" t="s">
        <v>154</v>
      </c>
      <c r="O93" s="30" t="s">
        <v>155</v>
      </c>
      <c r="P93" s="30" t="s">
        <v>156</v>
      </c>
      <c r="Q93" s="30" t="s">
        <v>157</v>
      </c>
      <c r="R93" s="30" t="s">
        <v>104</v>
      </c>
      <c r="S93" s="30" t="s">
        <v>158</v>
      </c>
      <c r="T93" s="30" t="s">
        <v>3</v>
      </c>
      <c r="U93" s="30" t="s">
        <v>159</v>
      </c>
      <c r="V93" s="30" t="s">
        <v>3</v>
      </c>
      <c r="X93" s="30"/>
      <c r="Y93" s="197"/>
      <c r="Z93" s="30"/>
      <c r="AA93" s="30"/>
      <c r="AB93" s="30"/>
      <c r="AD93" s="30" t="s">
        <v>174</v>
      </c>
    </row>
    <row r="94" spans="1:32" x14ac:dyDescent="0.25">
      <c r="A94" s="135" t="s">
        <v>247</v>
      </c>
      <c r="B94" s="2">
        <v>657074825</v>
      </c>
      <c r="C94" s="2">
        <v>230016838</v>
      </c>
      <c r="D94" s="2">
        <v>27470925</v>
      </c>
      <c r="E94" s="2">
        <v>20317309</v>
      </c>
      <c r="F94" s="2">
        <v>90618068</v>
      </c>
      <c r="G94" s="2">
        <v>42820403</v>
      </c>
      <c r="H94" s="2">
        <v>50749665</v>
      </c>
      <c r="I94" s="2">
        <v>79234105</v>
      </c>
      <c r="J94" s="2">
        <v>6231479</v>
      </c>
      <c r="K94" s="2">
        <v>121698931</v>
      </c>
      <c r="L94" s="2">
        <v>61229392</v>
      </c>
      <c r="M94" s="2">
        <v>195751</v>
      </c>
      <c r="N94" s="2">
        <v>3492943</v>
      </c>
      <c r="O94" s="2">
        <v>28026386</v>
      </c>
      <c r="P94" s="2">
        <v>49631540</v>
      </c>
      <c r="Q94" s="2">
        <v>388100</v>
      </c>
      <c r="R94" s="2">
        <v>14356223</v>
      </c>
      <c r="S94" s="2">
        <v>107150317</v>
      </c>
      <c r="T94" s="2">
        <f t="shared" ref="T94:T113" si="8">SUM(B94:S94)</f>
        <v>1590703200</v>
      </c>
      <c r="U94" s="2">
        <v>66525715</v>
      </c>
      <c r="V94" s="2">
        <f t="shared" ref="V94:V113" si="9">T94+U94</f>
        <v>1657228915</v>
      </c>
      <c r="W94" s="23">
        <v>41880</v>
      </c>
      <c r="X94" s="38">
        <v>172.2</v>
      </c>
      <c r="Y94" s="6">
        <f>T94/(W94*1000000)</f>
        <v>3.7982406876790831E-2</v>
      </c>
      <c r="Z94" s="6">
        <f t="shared" ref="Z94:Z113" si="10">C94/T94</f>
        <v>0.14460072626999179</v>
      </c>
      <c r="AA94" s="6">
        <f>(V94-T88)/T88</f>
        <v>8.5338145067096263E-2</v>
      </c>
      <c r="AB94" s="2"/>
      <c r="AC94" s="6">
        <v>4.2999999999999997E-2</v>
      </c>
      <c r="AD94" s="2">
        <f t="shared" ref="AD94:AD113" si="11">O94+P94</f>
        <v>77657926</v>
      </c>
    </row>
    <row r="95" spans="1:32" x14ac:dyDescent="0.25">
      <c r="A95" s="135" t="s">
        <v>125</v>
      </c>
      <c r="B95" s="2">
        <v>690870348</v>
      </c>
      <c r="C95" s="2">
        <v>251043065</v>
      </c>
      <c r="D95" s="2">
        <v>28162661</v>
      </c>
      <c r="E95" s="2">
        <v>22924832</v>
      </c>
      <c r="F95" s="2">
        <v>97607470</v>
      </c>
      <c r="G95" s="2">
        <v>47178383</v>
      </c>
      <c r="H95" s="2">
        <v>54987607</v>
      </c>
      <c r="I95" s="2">
        <v>85643253</v>
      </c>
      <c r="J95" s="2">
        <v>7023726</v>
      </c>
      <c r="K95" s="2">
        <v>133447376</v>
      </c>
      <c r="L95" s="2">
        <v>66473642</v>
      </c>
      <c r="M95" s="2">
        <v>368370</v>
      </c>
      <c r="N95" s="2">
        <v>4413859</v>
      </c>
      <c r="O95" s="2">
        <v>33014855</v>
      </c>
      <c r="P95" s="2">
        <v>60450671</v>
      </c>
      <c r="Q95" s="2">
        <v>109822</v>
      </c>
      <c r="R95" s="2">
        <v>15400105</v>
      </c>
      <c r="S95" s="2">
        <v>142741579</v>
      </c>
      <c r="T95" s="2">
        <f t="shared" si="8"/>
        <v>1741861624</v>
      </c>
      <c r="U95" s="2">
        <v>70382904</v>
      </c>
      <c r="V95" s="2">
        <f t="shared" si="9"/>
        <v>1812244528</v>
      </c>
      <c r="W95" s="23">
        <v>45225.5</v>
      </c>
      <c r="X95" s="38">
        <v>177.1</v>
      </c>
      <c r="Y95" s="6">
        <f t="shared" ref="Y95:Y113" si="12">T95/(W95*1000000)</f>
        <v>3.8515032979182101E-2</v>
      </c>
      <c r="Z95" s="6">
        <f t="shared" si="10"/>
        <v>0.14412342607531953</v>
      </c>
      <c r="AA95" s="6">
        <f t="shared" ref="AA95:AA113" si="13">(T95-T94)/T94</f>
        <v>9.5026164528995732E-2</v>
      </c>
      <c r="AC95" s="6">
        <v>4.2999999999999997E-2</v>
      </c>
      <c r="AD95" s="2">
        <f t="shared" si="11"/>
        <v>93465526</v>
      </c>
      <c r="AF95" s="27"/>
    </row>
    <row r="96" spans="1:32" x14ac:dyDescent="0.25">
      <c r="A96" s="135" t="s">
        <v>161</v>
      </c>
      <c r="B96" s="2">
        <v>734855767</v>
      </c>
      <c r="C96" s="2">
        <v>279080873</v>
      </c>
      <c r="D96" s="2">
        <v>30832172</v>
      </c>
      <c r="E96" s="2">
        <v>26743064</v>
      </c>
      <c r="F96" s="2">
        <v>109027396</v>
      </c>
      <c r="G96" s="2">
        <v>54060866</v>
      </c>
      <c r="H96" s="2">
        <v>59436520</v>
      </c>
      <c r="I96" s="2">
        <v>93398981</v>
      </c>
      <c r="J96" s="2">
        <v>7899798</v>
      </c>
      <c r="K96" s="2">
        <v>138706666</v>
      </c>
      <c r="L96" s="2">
        <v>72670751</v>
      </c>
      <c r="M96" s="2">
        <v>511330</v>
      </c>
      <c r="N96" s="2">
        <v>5748864</v>
      </c>
      <c r="O96" s="2">
        <v>34784259</v>
      </c>
      <c r="P96" s="2">
        <v>63937659</v>
      </c>
      <c r="Q96" s="2">
        <v>231267</v>
      </c>
      <c r="R96" s="2">
        <v>16335997</v>
      </c>
      <c r="S96" s="2">
        <v>160814498</v>
      </c>
      <c r="T96" s="2">
        <f t="shared" si="8"/>
        <v>1889076728</v>
      </c>
      <c r="U96" s="2">
        <v>72709320</v>
      </c>
      <c r="V96" s="2">
        <f t="shared" si="9"/>
        <v>1961786048</v>
      </c>
      <c r="W96" s="23">
        <v>46629.7</v>
      </c>
      <c r="X96" s="38">
        <v>179.9</v>
      </c>
      <c r="Y96" s="6">
        <f t="shared" si="12"/>
        <v>4.0512307134723147E-2</v>
      </c>
      <c r="Z96" s="6">
        <f t="shared" si="10"/>
        <v>0.14773400617531721</v>
      </c>
      <c r="AA96" s="6">
        <f t="shared" si="13"/>
        <v>8.4515958082787404E-2</v>
      </c>
      <c r="AC96" s="6">
        <v>4.4999999999999998E-2</v>
      </c>
      <c r="AD96" s="2">
        <f t="shared" si="11"/>
        <v>98721918</v>
      </c>
    </row>
    <row r="97" spans="1:33" x14ac:dyDescent="0.25">
      <c r="A97" s="135" t="s">
        <v>165</v>
      </c>
      <c r="B97" s="2">
        <v>787982293</v>
      </c>
      <c r="C97" s="2">
        <v>313920798</v>
      </c>
      <c r="D97" s="2">
        <v>32793228</v>
      </c>
      <c r="E97" s="2">
        <v>28183122</v>
      </c>
      <c r="F97" s="2">
        <v>118163163</v>
      </c>
      <c r="G97" s="2">
        <v>57970732</v>
      </c>
      <c r="H97" s="2">
        <v>67346415</v>
      </c>
      <c r="I97" s="2">
        <v>100837363</v>
      </c>
      <c r="J97" s="2">
        <v>8621685</v>
      </c>
      <c r="K97" s="2">
        <v>149718163</v>
      </c>
      <c r="L97" s="2">
        <v>78661062</v>
      </c>
      <c r="M97" s="2">
        <v>297172</v>
      </c>
      <c r="N97" s="2">
        <v>6566459</v>
      </c>
      <c r="O97" s="2">
        <v>39124270</v>
      </c>
      <c r="P97" s="2">
        <v>68214974</v>
      </c>
      <c r="Q97" s="2">
        <v>161471</v>
      </c>
      <c r="R97" s="2">
        <v>17711638</v>
      </c>
      <c r="S97" s="2">
        <v>188733490</v>
      </c>
      <c r="T97" s="2">
        <f t="shared" si="8"/>
        <v>2065007498</v>
      </c>
      <c r="U97" s="2">
        <v>78723966</v>
      </c>
      <c r="V97" s="2">
        <f t="shared" si="9"/>
        <v>2143731464</v>
      </c>
      <c r="W97" s="23">
        <v>48678.5</v>
      </c>
      <c r="X97" s="39">
        <v>184</v>
      </c>
      <c r="Y97" s="6">
        <f t="shared" si="12"/>
        <v>4.242134613843894E-2</v>
      </c>
      <c r="Z97" s="6">
        <f t="shared" si="10"/>
        <v>0.15201920492009757</v>
      </c>
      <c r="AA97" s="6">
        <f t="shared" si="13"/>
        <v>9.3130558114630488E-2</v>
      </c>
      <c r="AC97" s="6">
        <v>4.4999999999999998E-2</v>
      </c>
      <c r="AD97" s="2">
        <f t="shared" si="11"/>
        <v>107339244</v>
      </c>
    </row>
    <row r="98" spans="1:33" x14ac:dyDescent="0.25">
      <c r="A98" s="135" t="s">
        <v>175</v>
      </c>
      <c r="B98" s="2">
        <v>833390833</v>
      </c>
      <c r="C98" s="2">
        <v>343675469</v>
      </c>
      <c r="D98" s="2">
        <v>34090669</v>
      </c>
      <c r="E98" s="2">
        <v>29247279</v>
      </c>
      <c r="F98" s="2">
        <v>127724898</v>
      </c>
      <c r="G98" s="2">
        <v>61608484</v>
      </c>
      <c r="H98" s="2">
        <v>70147507</v>
      </c>
      <c r="I98" s="2">
        <v>105933786</v>
      </c>
      <c r="J98" s="2">
        <v>9848059</v>
      </c>
      <c r="K98" s="2">
        <v>160479835</v>
      </c>
      <c r="L98" s="2">
        <v>82716056</v>
      </c>
      <c r="M98" s="2">
        <v>880103</v>
      </c>
      <c r="N98" s="2">
        <v>6890046</v>
      </c>
      <c r="O98" s="2">
        <v>43183391</v>
      </c>
      <c r="P98" s="2">
        <v>77847580</v>
      </c>
      <c r="Q98" s="2">
        <v>384403</v>
      </c>
      <c r="R98" s="2">
        <v>18894166</v>
      </c>
      <c r="S98" s="2">
        <v>173673353</v>
      </c>
      <c r="T98" s="2">
        <f t="shared" si="8"/>
        <v>2180615917</v>
      </c>
      <c r="U98" s="2">
        <v>127634922</v>
      </c>
      <c r="V98" s="2">
        <f t="shared" si="9"/>
        <v>2308250839</v>
      </c>
      <c r="W98" s="23">
        <v>51378.400000000001</v>
      </c>
      <c r="X98" s="39">
        <v>188.9</v>
      </c>
      <c r="Y98" s="6">
        <f t="shared" si="12"/>
        <v>4.2442269844915372E-2</v>
      </c>
      <c r="Z98" s="6">
        <f t="shared" si="10"/>
        <v>0.15760476951521765</v>
      </c>
      <c r="AA98" s="6">
        <f t="shared" si="13"/>
        <v>5.5984503258205601E-2</v>
      </c>
      <c r="AC98" s="6">
        <v>4.4999999999999998E-2</v>
      </c>
      <c r="AD98" s="2">
        <f t="shared" si="11"/>
        <v>121030971</v>
      </c>
    </row>
    <row r="99" spans="1:33" x14ac:dyDescent="0.25">
      <c r="A99" s="135" t="s">
        <v>176</v>
      </c>
      <c r="B99" s="2">
        <v>877590632</v>
      </c>
      <c r="C99" s="2">
        <v>368625189</v>
      </c>
      <c r="D99" s="2">
        <v>34951311</v>
      </c>
      <c r="E99" s="2">
        <v>32378628</v>
      </c>
      <c r="F99" s="2">
        <v>136555573</v>
      </c>
      <c r="G99" s="2">
        <v>66645852</v>
      </c>
      <c r="H99" s="2">
        <v>76656540</v>
      </c>
      <c r="I99" s="2">
        <v>111256566</v>
      </c>
      <c r="J99" s="2">
        <v>11599038</v>
      </c>
      <c r="K99" s="2">
        <v>173990944</v>
      </c>
      <c r="L99" s="2">
        <v>86207510</v>
      </c>
      <c r="M99" s="2">
        <v>374917</v>
      </c>
      <c r="N99" s="2">
        <v>6037041</v>
      </c>
      <c r="O99" s="2">
        <v>48783166</v>
      </c>
      <c r="P99" s="2">
        <v>88933867</v>
      </c>
      <c r="Q99" s="2">
        <v>825456</v>
      </c>
      <c r="R99" s="2">
        <v>19937863</v>
      </c>
      <c r="S99" s="2">
        <v>138598107</v>
      </c>
      <c r="T99" s="2">
        <f t="shared" si="8"/>
        <v>2279948200</v>
      </c>
      <c r="U99" s="2">
        <v>137485832</v>
      </c>
      <c r="V99" s="2">
        <f t="shared" si="9"/>
        <v>2417434032</v>
      </c>
      <c r="W99" s="23">
        <v>54126.7</v>
      </c>
      <c r="X99" s="39">
        <v>195.3</v>
      </c>
      <c r="Y99" s="6">
        <f t="shared" si="12"/>
        <v>4.2122431258510125E-2</v>
      </c>
      <c r="Z99" s="6">
        <f t="shared" si="10"/>
        <v>0.16168138776135352</v>
      </c>
      <c r="AA99" s="6">
        <f t="shared" si="13"/>
        <v>4.5552397478899997E-2</v>
      </c>
      <c r="AC99" s="6">
        <v>4.3999999999999997E-2</v>
      </c>
      <c r="AD99" s="2">
        <f t="shared" si="11"/>
        <v>137717033</v>
      </c>
    </row>
    <row r="100" spans="1:33" x14ac:dyDescent="0.25">
      <c r="A100" s="135" t="s">
        <v>186</v>
      </c>
      <c r="B100" s="2">
        <v>920957459</v>
      </c>
      <c r="C100" s="2">
        <v>391977486</v>
      </c>
      <c r="D100" s="2">
        <v>34986834</v>
      </c>
      <c r="E100" s="2">
        <v>33458800</v>
      </c>
      <c r="F100" s="2">
        <v>147296508</v>
      </c>
      <c r="G100" s="2">
        <v>70934627</v>
      </c>
      <c r="H100" s="2">
        <v>80676812</v>
      </c>
      <c r="I100" s="2">
        <v>116747169</v>
      </c>
      <c r="J100" s="2">
        <v>12741851</v>
      </c>
      <c r="K100" s="2">
        <v>188332396</v>
      </c>
      <c r="L100" s="2">
        <v>92250954</v>
      </c>
      <c r="M100" s="2">
        <v>264281</v>
      </c>
      <c r="N100" s="2">
        <v>6491987</v>
      </c>
      <c r="O100" s="2">
        <v>49262754</v>
      </c>
      <c r="P100" s="2">
        <v>93626393</v>
      </c>
      <c r="Q100" s="2">
        <v>1465575</v>
      </c>
      <c r="R100" s="2">
        <v>20903202</v>
      </c>
      <c r="S100" s="2">
        <v>174616065</v>
      </c>
      <c r="T100" s="2">
        <f t="shared" si="8"/>
        <v>2436991153</v>
      </c>
      <c r="U100" s="2">
        <v>146991558</v>
      </c>
      <c r="V100" s="2">
        <f t="shared" si="9"/>
        <v>2583982711</v>
      </c>
      <c r="W100" s="23">
        <v>56352.1</v>
      </c>
      <c r="X100" s="39">
        <v>201.6</v>
      </c>
      <c r="Y100" s="6">
        <f t="shared" si="12"/>
        <v>4.3245791248240968E-2</v>
      </c>
      <c r="Z100" s="6">
        <f t="shared" si="10"/>
        <v>0.16084485391646394</v>
      </c>
      <c r="AA100" s="6">
        <f t="shared" si="13"/>
        <v>6.8880053064363483E-2</v>
      </c>
      <c r="AC100" s="6">
        <v>4.3999999999999997E-2</v>
      </c>
      <c r="AD100" s="2">
        <f t="shared" si="11"/>
        <v>142889147</v>
      </c>
    </row>
    <row r="101" spans="1:33" x14ac:dyDescent="0.25">
      <c r="A101" s="135" t="s">
        <v>187</v>
      </c>
      <c r="B101" s="2">
        <v>959463148</v>
      </c>
      <c r="C101" s="2">
        <v>415946689</v>
      </c>
      <c r="D101" s="2">
        <v>39437805</v>
      </c>
      <c r="E101" s="2">
        <v>35842446</v>
      </c>
      <c r="F101" s="2">
        <v>154621231</v>
      </c>
      <c r="G101" s="2">
        <v>75401603</v>
      </c>
      <c r="H101" s="2">
        <v>86767132</v>
      </c>
      <c r="I101" s="2">
        <v>123341956</v>
      </c>
      <c r="J101" s="2">
        <v>12078932</v>
      </c>
      <c r="K101" s="2">
        <v>198964593</v>
      </c>
      <c r="L101" s="2">
        <v>97372775</v>
      </c>
      <c r="M101" s="2">
        <v>254051</v>
      </c>
      <c r="N101" s="2">
        <v>6517478</v>
      </c>
      <c r="O101" s="2">
        <v>52042734</v>
      </c>
      <c r="P101" s="2">
        <v>96518977</v>
      </c>
      <c r="Q101" s="2">
        <v>610661</v>
      </c>
      <c r="R101" s="2">
        <v>22281193</v>
      </c>
      <c r="S101" s="2">
        <v>176251409</v>
      </c>
      <c r="T101" s="2">
        <f t="shared" si="8"/>
        <v>2553714813</v>
      </c>
      <c r="U101" s="2">
        <v>149291991</v>
      </c>
      <c r="V101" s="2">
        <f t="shared" si="9"/>
        <v>2703006804</v>
      </c>
      <c r="W101" s="23">
        <v>59411.6</v>
      </c>
      <c r="X101" s="39">
        <v>207.3</v>
      </c>
      <c r="Y101" s="6">
        <f t="shared" si="12"/>
        <v>4.2983437796659238E-2</v>
      </c>
      <c r="Z101" s="6">
        <f t="shared" si="10"/>
        <v>0.16287906812560748</v>
      </c>
      <c r="AA101" s="6">
        <f t="shared" si="13"/>
        <v>4.7896628535688407E-2</v>
      </c>
      <c r="AC101" s="6">
        <v>4.3999999999999997E-2</v>
      </c>
      <c r="AD101" s="2">
        <f t="shared" si="11"/>
        <v>148561711</v>
      </c>
    </row>
    <row r="102" spans="1:33" x14ac:dyDescent="0.25">
      <c r="A102" s="135" t="s">
        <v>188</v>
      </c>
      <c r="B102" s="2">
        <v>1013773347</v>
      </c>
      <c r="C102" s="2">
        <v>448968560</v>
      </c>
      <c r="D102" s="2">
        <v>38691765</v>
      </c>
      <c r="E102" s="2">
        <v>38171764</v>
      </c>
      <c r="F102" s="2">
        <v>164875015</v>
      </c>
      <c r="G102" s="2">
        <v>79038059</v>
      </c>
      <c r="H102" s="2">
        <v>92837894</v>
      </c>
      <c r="I102" s="2">
        <v>130024743</v>
      </c>
      <c r="J102" s="2">
        <v>13255454</v>
      </c>
      <c r="K102" s="2">
        <v>214373185</v>
      </c>
      <c r="L102" s="2">
        <v>103662630</v>
      </c>
      <c r="M102" s="2">
        <v>347873</v>
      </c>
      <c r="N102" s="2">
        <v>6582232</v>
      </c>
      <c r="O102" s="2">
        <v>48357894</v>
      </c>
      <c r="P102" s="2">
        <v>102118643</v>
      </c>
      <c r="Q102" s="2">
        <v>545095</v>
      </c>
      <c r="R102" s="2">
        <v>24220636</v>
      </c>
      <c r="S102" s="2">
        <v>134172855</v>
      </c>
      <c r="T102" s="2">
        <f t="shared" si="8"/>
        <v>2654017644</v>
      </c>
      <c r="U102" s="2">
        <v>148181353</v>
      </c>
      <c r="V102" s="2">
        <f t="shared" si="9"/>
        <v>2802198997</v>
      </c>
      <c r="W102" s="23">
        <v>60732.7</v>
      </c>
      <c r="X102" s="39">
        <v>215.3</v>
      </c>
      <c r="Y102" s="6">
        <f t="shared" si="12"/>
        <v>4.3699977837310049E-2</v>
      </c>
      <c r="Z102" s="6">
        <f t="shared" si="10"/>
        <v>0.16916562744599448</v>
      </c>
      <c r="AA102" s="6">
        <f t="shared" si="13"/>
        <v>3.9277224884077137E-2</v>
      </c>
      <c r="AC102" s="6">
        <v>4.4999999999999998E-2</v>
      </c>
      <c r="AD102" s="2">
        <f t="shared" si="11"/>
        <v>150476537</v>
      </c>
    </row>
    <row r="103" spans="1:33" x14ac:dyDescent="0.25">
      <c r="A103" s="135" t="s">
        <v>248</v>
      </c>
      <c r="B103" s="2">
        <v>1037678209</v>
      </c>
      <c r="C103" s="2">
        <v>473442456</v>
      </c>
      <c r="D103" s="2">
        <v>40084522</v>
      </c>
      <c r="E103" s="2">
        <v>40409492</v>
      </c>
      <c r="F103" s="2">
        <v>174446558</v>
      </c>
      <c r="G103" s="2">
        <v>85507901</v>
      </c>
      <c r="H103" s="2">
        <v>97950702</v>
      </c>
      <c r="I103" s="2">
        <v>134870384</v>
      </c>
      <c r="J103" s="2">
        <v>13778424</v>
      </c>
      <c r="K103" s="2">
        <v>224233619</v>
      </c>
      <c r="L103" s="2">
        <v>107522931</v>
      </c>
      <c r="M103" s="2">
        <v>733654</v>
      </c>
      <c r="N103" s="2">
        <v>6800562</v>
      </c>
      <c r="O103" s="2">
        <v>45591427</v>
      </c>
      <c r="P103" s="2">
        <v>103170648</v>
      </c>
      <c r="Q103" s="2">
        <v>557072</v>
      </c>
      <c r="R103" s="2">
        <v>25393600</v>
      </c>
      <c r="S103" s="2">
        <v>80835378</v>
      </c>
      <c r="T103" s="2">
        <f t="shared" si="8"/>
        <v>2693007539</v>
      </c>
      <c r="U103" s="2">
        <v>151782735</v>
      </c>
      <c r="V103" s="2">
        <f t="shared" si="9"/>
        <v>2844790274</v>
      </c>
      <c r="W103" s="23">
        <v>60918.7</v>
      </c>
      <c r="X103" s="136">
        <v>214.5</v>
      </c>
      <c r="Y103" s="6">
        <f t="shared" si="12"/>
        <v>4.4206582527204288E-2</v>
      </c>
      <c r="Z103" s="6">
        <f t="shared" si="10"/>
        <v>0.17580435596396599</v>
      </c>
      <c r="AA103" s="6">
        <f t="shared" si="13"/>
        <v>1.4690895174772244E-2</v>
      </c>
      <c r="AC103" s="6">
        <v>4.4999999999999998E-2</v>
      </c>
      <c r="AD103" s="2">
        <f t="shared" si="11"/>
        <v>148762075</v>
      </c>
    </row>
    <row r="104" spans="1:33" x14ac:dyDescent="0.25">
      <c r="A104" s="135" t="s">
        <v>249</v>
      </c>
      <c r="B104" s="2">
        <v>1070740470</v>
      </c>
      <c r="C104" s="2">
        <v>508089836</v>
      </c>
      <c r="D104" s="2">
        <v>40552146</v>
      </c>
      <c r="E104" s="2">
        <v>41030433</v>
      </c>
      <c r="F104" s="2">
        <v>184023587</v>
      </c>
      <c r="G104" s="2">
        <v>86735835</v>
      </c>
      <c r="H104" s="2">
        <v>101578756</v>
      </c>
      <c r="I104" s="2">
        <v>137195717</v>
      </c>
      <c r="J104" s="2">
        <v>14305727</v>
      </c>
      <c r="K104" s="2">
        <v>218636212</v>
      </c>
      <c r="L104" s="2">
        <v>110002544</v>
      </c>
      <c r="M104" s="2">
        <v>299436</v>
      </c>
      <c r="N104" s="2">
        <v>7637367</v>
      </c>
      <c r="O104" s="2">
        <v>44621384</v>
      </c>
      <c r="P104" s="2">
        <v>103872686</v>
      </c>
      <c r="Q104" s="2">
        <v>435341</v>
      </c>
      <c r="R104" s="2">
        <v>27608366</v>
      </c>
      <c r="S104" s="2">
        <v>97171268</v>
      </c>
      <c r="T104" s="2">
        <f t="shared" si="8"/>
        <v>2794537111</v>
      </c>
      <c r="U104" s="2">
        <v>145064231.82999998</v>
      </c>
      <c r="V104" s="2">
        <f t="shared" si="9"/>
        <v>2939601342.8299999</v>
      </c>
      <c r="W104" s="23">
        <v>61937.4</v>
      </c>
      <c r="X104" s="136">
        <v>218.1</v>
      </c>
      <c r="Y104" s="6">
        <f t="shared" si="12"/>
        <v>4.5118734577169854E-2</v>
      </c>
      <c r="Z104" s="6">
        <f t="shared" si="10"/>
        <v>0.18181538330624802</v>
      </c>
      <c r="AA104" s="6">
        <f t="shared" si="13"/>
        <v>3.7701183724758967E-2</v>
      </c>
      <c r="AC104" s="6">
        <v>4.4999999999999998E-2</v>
      </c>
      <c r="AD104" s="2">
        <f t="shared" si="11"/>
        <v>148494070</v>
      </c>
    </row>
    <row r="105" spans="1:33" x14ac:dyDescent="0.25">
      <c r="A105" s="135" t="s">
        <v>250</v>
      </c>
      <c r="B105" s="2">
        <v>1099242211</v>
      </c>
      <c r="C105" s="2">
        <v>521652296</v>
      </c>
      <c r="D105" s="2">
        <v>41533430</v>
      </c>
      <c r="E105" s="2">
        <v>42465238</v>
      </c>
      <c r="F105" s="2">
        <v>190349371</v>
      </c>
      <c r="G105" s="2">
        <v>87561502</v>
      </c>
      <c r="H105" s="2">
        <v>100422680</v>
      </c>
      <c r="I105" s="2">
        <v>140639608</v>
      </c>
      <c r="J105" s="2">
        <v>15918467</v>
      </c>
      <c r="K105" s="2">
        <v>220967729</v>
      </c>
      <c r="L105" s="2">
        <v>113494761</v>
      </c>
      <c r="M105" s="2">
        <v>437666</v>
      </c>
      <c r="N105" s="2">
        <v>7705374</v>
      </c>
      <c r="O105" s="2">
        <v>44798730</v>
      </c>
      <c r="P105" s="2">
        <v>101283387</v>
      </c>
      <c r="Q105" s="2">
        <v>1120037</v>
      </c>
      <c r="R105" s="2">
        <v>31179384</v>
      </c>
      <c r="S105" s="2">
        <v>173756309</v>
      </c>
      <c r="T105" s="2">
        <f t="shared" si="8"/>
        <v>2934528180</v>
      </c>
      <c r="U105" s="2">
        <v>144927476.44</v>
      </c>
      <c r="V105" s="2">
        <f t="shared" si="9"/>
        <v>3079455656.4400001</v>
      </c>
      <c r="W105" s="23">
        <v>64151.6</v>
      </c>
      <c r="X105" s="136">
        <v>224.9</v>
      </c>
      <c r="Y105" s="6">
        <f t="shared" si="12"/>
        <v>4.574364754737216E-2</v>
      </c>
      <c r="Z105" s="6">
        <f t="shared" si="10"/>
        <v>0.1777636008252611</v>
      </c>
      <c r="AA105" s="6">
        <f t="shared" si="13"/>
        <v>5.0094546409478691E-2</v>
      </c>
      <c r="AC105" s="6">
        <v>4.3999999999999997E-2</v>
      </c>
      <c r="AD105" s="2">
        <f t="shared" si="11"/>
        <v>146082117</v>
      </c>
    </row>
    <row r="106" spans="1:33" x14ac:dyDescent="0.25">
      <c r="A106" s="135" t="s">
        <v>251</v>
      </c>
      <c r="B106" s="2">
        <v>1116049448</v>
      </c>
      <c r="C106" s="2">
        <v>518250396</v>
      </c>
      <c r="D106" s="2">
        <v>39914187</v>
      </c>
      <c r="E106" s="2">
        <v>44264565</v>
      </c>
      <c r="F106" s="2">
        <v>197396778</v>
      </c>
      <c r="G106" s="2">
        <v>87654962</v>
      </c>
      <c r="H106" s="2">
        <v>103822503</v>
      </c>
      <c r="I106" s="2">
        <v>145183401</v>
      </c>
      <c r="J106" s="2">
        <v>14737707</v>
      </c>
      <c r="K106" s="2">
        <v>221157807</v>
      </c>
      <c r="L106" s="2">
        <v>114109938</v>
      </c>
      <c r="M106" s="2">
        <v>240022</v>
      </c>
      <c r="N106" s="2">
        <v>7275595</v>
      </c>
      <c r="O106" s="2">
        <v>45468957</v>
      </c>
      <c r="P106" s="2">
        <v>105255247</v>
      </c>
      <c r="Q106" s="2">
        <v>1004549</v>
      </c>
      <c r="R106" s="2">
        <v>32921520</v>
      </c>
      <c r="S106" s="2">
        <v>125685550</v>
      </c>
      <c r="T106" s="2">
        <f t="shared" si="8"/>
        <v>2920393132</v>
      </c>
      <c r="U106" s="2">
        <v>146261262.81999999</v>
      </c>
      <c r="V106" s="2">
        <f t="shared" si="9"/>
        <v>3066654394.8200002</v>
      </c>
      <c r="W106" s="23">
        <v>65430.5</v>
      </c>
      <c r="X106" s="136">
        <v>229.6</v>
      </c>
      <c r="Y106" s="6">
        <f t="shared" si="12"/>
        <v>4.4633513911707841E-2</v>
      </c>
      <c r="Z106" s="6">
        <f t="shared" si="10"/>
        <v>0.17745912025381383</v>
      </c>
      <c r="AA106" s="6">
        <f t="shared" si="13"/>
        <v>-4.8168043150296144E-3</v>
      </c>
      <c r="AC106" s="6">
        <v>4.2000000000000003E-2</v>
      </c>
      <c r="AD106" s="2">
        <f t="shared" si="11"/>
        <v>150724204</v>
      </c>
    </row>
    <row r="107" spans="1:33" x14ac:dyDescent="0.25">
      <c r="A107" s="135" t="s">
        <v>252</v>
      </c>
      <c r="B107" s="2">
        <v>1116130940</v>
      </c>
      <c r="C107" s="2">
        <v>520481101</v>
      </c>
      <c r="D107" s="2">
        <v>39406698</v>
      </c>
      <c r="E107" s="2">
        <v>44558290</v>
      </c>
      <c r="F107" s="2">
        <v>198831718</v>
      </c>
      <c r="G107" s="2">
        <v>89918683</v>
      </c>
      <c r="H107" s="2">
        <v>106436990</v>
      </c>
      <c r="I107" s="2">
        <v>145819210</v>
      </c>
      <c r="J107" s="2">
        <v>15636681</v>
      </c>
      <c r="K107" s="2">
        <v>223352642</v>
      </c>
      <c r="L107" s="2">
        <v>117405007</v>
      </c>
      <c r="M107" s="2">
        <v>205439</v>
      </c>
      <c r="N107" s="2">
        <v>6369479</v>
      </c>
      <c r="O107" s="2">
        <v>43456447</v>
      </c>
      <c r="P107" s="2">
        <v>102103349</v>
      </c>
      <c r="Q107" s="2">
        <v>728886</v>
      </c>
      <c r="R107" s="2">
        <v>33845510</v>
      </c>
      <c r="S107" s="2">
        <v>38369451</v>
      </c>
      <c r="T107" s="2">
        <f t="shared" si="8"/>
        <v>2843056521</v>
      </c>
      <c r="U107" s="2">
        <v>144418541.87</v>
      </c>
      <c r="V107" s="2">
        <f t="shared" si="9"/>
        <v>2987475062.8699999</v>
      </c>
      <c r="W107" s="23">
        <v>67689.2</v>
      </c>
      <c r="X107" s="136">
        <v>233</v>
      </c>
      <c r="Y107" s="6">
        <f t="shared" si="12"/>
        <v>4.2001626862187766E-2</v>
      </c>
      <c r="Z107" s="6">
        <f t="shared" si="10"/>
        <v>0.18307096505310735</v>
      </c>
      <c r="AA107" s="6">
        <f t="shared" si="13"/>
        <v>-2.6481575426468985E-2</v>
      </c>
      <c r="AC107" s="6">
        <v>0.04</v>
      </c>
      <c r="AD107" s="2">
        <f t="shared" si="11"/>
        <v>145559796</v>
      </c>
    </row>
    <row r="108" spans="1:33" x14ac:dyDescent="0.25">
      <c r="A108" s="135" t="s">
        <v>253</v>
      </c>
      <c r="B108" s="2">
        <v>1136255077</v>
      </c>
      <c r="C108" s="2">
        <v>531603326</v>
      </c>
      <c r="D108" s="2">
        <v>39603679</v>
      </c>
      <c r="E108" s="2">
        <v>45359416</v>
      </c>
      <c r="F108" s="2">
        <v>204117287</v>
      </c>
      <c r="G108" s="2">
        <v>90283985</v>
      </c>
      <c r="H108" s="2">
        <v>110603390</v>
      </c>
      <c r="I108" s="2">
        <v>152300090</v>
      </c>
      <c r="J108" s="2">
        <v>16666968</v>
      </c>
      <c r="K108" s="2">
        <v>236226375</v>
      </c>
      <c r="L108" s="2">
        <v>121658915</v>
      </c>
      <c r="M108" s="2">
        <v>158422</v>
      </c>
      <c r="N108" s="2">
        <v>6172431</v>
      </c>
      <c r="O108" s="2">
        <v>41362251</v>
      </c>
      <c r="P108" s="2">
        <v>94172003</v>
      </c>
      <c r="Q108" s="2">
        <v>854573</v>
      </c>
      <c r="R108" s="2">
        <v>34640823</v>
      </c>
      <c r="S108" s="2">
        <v>52544557</v>
      </c>
      <c r="T108" s="2">
        <f t="shared" si="8"/>
        <v>2914583568</v>
      </c>
      <c r="U108" s="2">
        <v>142982869.61000001</v>
      </c>
      <c r="V108" s="2">
        <f t="shared" si="9"/>
        <v>3057566437.6100001</v>
      </c>
      <c r="W108" s="23">
        <v>70181.899999999994</v>
      </c>
      <c r="X108" s="136">
        <v>236.7</v>
      </c>
      <c r="Y108" s="6">
        <f t="shared" si="12"/>
        <v>4.1528992062055889E-2</v>
      </c>
      <c r="Z108" s="6">
        <f t="shared" si="10"/>
        <v>0.18239426442824164</v>
      </c>
      <c r="AA108" s="6">
        <f t="shared" si="13"/>
        <v>2.5158503347250196E-2</v>
      </c>
      <c r="AC108" s="6">
        <v>0.04</v>
      </c>
      <c r="AD108" s="2">
        <f t="shared" si="11"/>
        <v>135534254</v>
      </c>
    </row>
    <row r="109" spans="1:33" x14ac:dyDescent="0.25">
      <c r="A109" s="135" t="s">
        <v>254</v>
      </c>
      <c r="B109" s="2">
        <v>1153336797</v>
      </c>
      <c r="C109" s="2">
        <v>533232787</v>
      </c>
      <c r="D109" s="2">
        <v>39870558</v>
      </c>
      <c r="E109" s="2">
        <v>46654971</v>
      </c>
      <c r="F109" s="2">
        <v>210268577</v>
      </c>
      <c r="G109" s="2">
        <v>96040326</v>
      </c>
      <c r="H109" s="2">
        <v>117292917</v>
      </c>
      <c r="I109" s="2">
        <v>154041580</v>
      </c>
      <c r="J109" s="2">
        <v>17065107</v>
      </c>
      <c r="K109" s="2">
        <v>240493989</v>
      </c>
      <c r="L109" s="2">
        <v>124125366</v>
      </c>
      <c r="M109" s="2">
        <v>346640</v>
      </c>
      <c r="N109" s="2">
        <v>6286868</v>
      </c>
      <c r="O109" s="2">
        <v>41185252</v>
      </c>
      <c r="P109" s="2">
        <v>94358445</v>
      </c>
      <c r="Q109" s="2">
        <v>1127642</v>
      </c>
      <c r="R109" s="2">
        <v>34303383</v>
      </c>
      <c r="S109" s="2">
        <v>86923711</v>
      </c>
      <c r="T109" s="2">
        <f t="shared" si="8"/>
        <v>2996954916</v>
      </c>
      <c r="U109" s="2">
        <v>143700215.42000002</v>
      </c>
      <c r="V109" s="2">
        <f t="shared" si="9"/>
        <v>3140655131.4200001</v>
      </c>
      <c r="W109" s="23">
        <v>72340.100000000006</v>
      </c>
      <c r="X109" s="136">
        <v>237</v>
      </c>
      <c r="Y109" s="6">
        <f t="shared" si="12"/>
        <v>4.1428680856122675E-2</v>
      </c>
      <c r="Z109" s="6">
        <f t="shared" si="10"/>
        <v>0.17792486104919439</v>
      </c>
      <c r="AA109" s="6">
        <f t="shared" si="13"/>
        <v>2.8261789747385278E-2</v>
      </c>
      <c r="AC109" s="6">
        <v>0.04</v>
      </c>
      <c r="AD109" s="2">
        <f t="shared" si="11"/>
        <v>135543697</v>
      </c>
    </row>
    <row r="110" spans="1:33" x14ac:dyDescent="0.25">
      <c r="A110" s="135" t="s">
        <v>255</v>
      </c>
      <c r="B110" s="2">
        <v>1179359771</v>
      </c>
      <c r="C110" s="2">
        <v>552956963</v>
      </c>
      <c r="D110" s="2">
        <v>40355315</v>
      </c>
      <c r="E110" s="2">
        <v>48084976</v>
      </c>
      <c r="F110" s="2">
        <v>218592854</v>
      </c>
      <c r="G110" s="2">
        <v>101635906</v>
      </c>
      <c r="H110" s="2">
        <v>121194097</v>
      </c>
      <c r="I110" s="2">
        <v>158975595</v>
      </c>
      <c r="J110" s="2">
        <v>17350831</v>
      </c>
      <c r="K110" s="2">
        <v>234635606</v>
      </c>
      <c r="L110" s="2">
        <v>127128052</v>
      </c>
      <c r="M110" s="2">
        <v>372221</v>
      </c>
      <c r="N110" s="2">
        <v>6574135</v>
      </c>
      <c r="O110" s="2">
        <v>41986085</v>
      </c>
      <c r="P110" s="2">
        <v>93471647</v>
      </c>
      <c r="Q110" s="2">
        <v>1705251</v>
      </c>
      <c r="R110" s="2">
        <v>34831964</v>
      </c>
      <c r="S110" s="2">
        <v>99693705</v>
      </c>
      <c r="T110" s="2">
        <f t="shared" si="8"/>
        <v>3078904974</v>
      </c>
      <c r="U110" s="2">
        <v>141021122</v>
      </c>
      <c r="V110" s="2">
        <f t="shared" si="9"/>
        <v>3219926096</v>
      </c>
      <c r="W110" s="23">
        <v>76033.3</v>
      </c>
      <c r="X110" s="136">
        <v>240</v>
      </c>
      <c r="Y110" s="6">
        <f t="shared" si="12"/>
        <v>4.0494164714671071E-2</v>
      </c>
      <c r="Z110" s="6">
        <f t="shared" si="10"/>
        <v>0.17959533264893807</v>
      </c>
      <c r="AA110" s="6">
        <f t="shared" si="13"/>
        <v>2.7344441373638603E-2</v>
      </c>
      <c r="AC110" s="6">
        <v>0.04</v>
      </c>
      <c r="AD110" s="2">
        <f t="shared" si="11"/>
        <v>135457732</v>
      </c>
      <c r="AE110" s="137"/>
    </row>
    <row r="111" spans="1:33" x14ac:dyDescent="0.25">
      <c r="A111" s="135" t="s">
        <v>256</v>
      </c>
      <c r="B111" s="2">
        <v>1199964323</v>
      </c>
      <c r="C111" s="2">
        <v>566549771</v>
      </c>
      <c r="D111" s="2">
        <v>39306678</v>
      </c>
      <c r="E111" s="2">
        <v>48653918</v>
      </c>
      <c r="F111" s="2">
        <v>222533410</v>
      </c>
      <c r="G111" s="2">
        <v>105349693</v>
      </c>
      <c r="H111" s="2">
        <v>126818929</v>
      </c>
      <c r="I111" s="2">
        <v>161566524</v>
      </c>
      <c r="J111" s="2">
        <v>18601970</v>
      </c>
      <c r="K111" s="2">
        <v>237987563</v>
      </c>
      <c r="L111" s="2">
        <v>128816686</v>
      </c>
      <c r="M111" s="2">
        <v>454419</v>
      </c>
      <c r="N111" s="2">
        <v>6222108</v>
      </c>
      <c r="O111" s="2">
        <v>45629499</v>
      </c>
      <c r="P111" s="2">
        <v>87756967</v>
      </c>
      <c r="Q111" s="2">
        <v>2636468</v>
      </c>
      <c r="R111" s="2">
        <v>33860801</v>
      </c>
      <c r="S111" s="2">
        <v>104341482</v>
      </c>
      <c r="T111" s="2">
        <f t="shared" si="8"/>
        <v>3137051209</v>
      </c>
      <c r="U111" s="2">
        <v>140396175.79000002</v>
      </c>
      <c r="V111" s="2">
        <f t="shared" si="9"/>
        <v>3277447384.79</v>
      </c>
      <c r="W111" s="23">
        <v>78477.899999999994</v>
      </c>
      <c r="X111" s="136">
        <v>245.1</v>
      </c>
      <c r="Y111" s="6">
        <f t="shared" si="12"/>
        <v>3.9973689522782845E-2</v>
      </c>
      <c r="Z111" s="6">
        <f t="shared" si="10"/>
        <v>0.18059946531143795</v>
      </c>
      <c r="AA111" s="6">
        <f t="shared" si="13"/>
        <v>1.8885362000782554E-2</v>
      </c>
      <c r="AC111" s="193">
        <v>4.1000000000000002E-2</v>
      </c>
      <c r="AD111" s="2">
        <f t="shared" si="11"/>
        <v>133386466</v>
      </c>
      <c r="AE111" s="137"/>
      <c r="AG111" s="137"/>
    </row>
    <row r="112" spans="1:33" x14ac:dyDescent="0.25">
      <c r="A112" s="135" t="s">
        <v>257</v>
      </c>
      <c r="B112" s="2">
        <v>1227267562</v>
      </c>
      <c r="C112" s="67">
        <v>595636726</v>
      </c>
      <c r="D112" s="2">
        <v>40039216</v>
      </c>
      <c r="E112" s="2">
        <v>49595526</v>
      </c>
      <c r="F112" s="2">
        <v>232146740</v>
      </c>
      <c r="G112" s="2">
        <v>104149679</v>
      </c>
      <c r="H112" s="2">
        <v>128084947</v>
      </c>
      <c r="I112" s="2">
        <v>168504728</v>
      </c>
      <c r="J112" s="2">
        <v>20164017</v>
      </c>
      <c r="K112" s="2">
        <v>243271198</v>
      </c>
      <c r="L112" s="2">
        <v>134494791</v>
      </c>
      <c r="M112" s="2">
        <v>644797</v>
      </c>
      <c r="N112" s="2">
        <v>5780044</v>
      </c>
      <c r="O112" s="2">
        <v>44834680</v>
      </c>
      <c r="P112" s="2">
        <v>87231401</v>
      </c>
      <c r="Q112" s="2">
        <v>2453671</v>
      </c>
      <c r="R112" s="2">
        <v>33617749</v>
      </c>
      <c r="S112" s="2">
        <v>127934366</v>
      </c>
      <c r="T112" s="2">
        <f t="shared" si="8"/>
        <v>3245851838</v>
      </c>
      <c r="U112" s="2">
        <v>141664477</v>
      </c>
      <c r="V112" s="2">
        <f t="shared" si="9"/>
        <v>3387516315</v>
      </c>
      <c r="W112" s="23">
        <v>80900.2</v>
      </c>
      <c r="X112" s="136">
        <v>251.1</v>
      </c>
      <c r="Y112" s="6">
        <f t="shared" si="12"/>
        <v>4.0121678784477664E-2</v>
      </c>
      <c r="Z112" s="6">
        <f t="shared" si="10"/>
        <v>0.18350705938784134</v>
      </c>
      <c r="AA112" s="6">
        <f t="shared" si="13"/>
        <v>3.4682452325884232E-2</v>
      </c>
      <c r="AC112" s="193">
        <v>0.04</v>
      </c>
      <c r="AD112" s="2">
        <f t="shared" si="11"/>
        <v>132066081</v>
      </c>
    </row>
    <row r="113" spans="1:30" x14ac:dyDescent="0.25">
      <c r="A113" s="175" t="s">
        <v>264</v>
      </c>
      <c r="B113" s="2">
        <v>1249095573</v>
      </c>
      <c r="C113" s="2">
        <v>610556847</v>
      </c>
      <c r="D113" s="2">
        <v>40459610</v>
      </c>
      <c r="E113" s="2">
        <v>51417495</v>
      </c>
      <c r="F113" s="2">
        <v>240760002</v>
      </c>
      <c r="G113" s="2">
        <v>105629780</v>
      </c>
      <c r="H113" s="2">
        <v>132033788</v>
      </c>
      <c r="I113" s="2">
        <v>170731590</v>
      </c>
      <c r="J113" s="2">
        <v>21139499</v>
      </c>
      <c r="K113" s="2">
        <v>255525038</v>
      </c>
      <c r="L113" s="2">
        <v>140228168</v>
      </c>
      <c r="M113" s="2">
        <v>368985</v>
      </c>
      <c r="N113" s="2">
        <v>5775753</v>
      </c>
      <c r="O113" s="2">
        <v>44059041</v>
      </c>
      <c r="P113" s="2">
        <v>88261184</v>
      </c>
      <c r="Q113" s="2">
        <v>2540320</v>
      </c>
      <c r="R113" s="2">
        <v>34467869</v>
      </c>
      <c r="S113" s="2">
        <v>165850689</v>
      </c>
      <c r="T113" s="2">
        <f t="shared" si="8"/>
        <v>3358901231</v>
      </c>
      <c r="U113" s="2">
        <v>146875966</v>
      </c>
      <c r="V113" s="2">
        <f t="shared" si="9"/>
        <v>3505777197</v>
      </c>
      <c r="W113" s="23">
        <v>84463.9</v>
      </c>
      <c r="X113" s="136">
        <v>255.7</v>
      </c>
      <c r="Y113" s="6">
        <f t="shared" si="12"/>
        <v>3.976729976948732E-2</v>
      </c>
      <c r="Z113" s="196">
        <f t="shared" si="10"/>
        <v>0.18177278967450533</v>
      </c>
      <c r="AA113" s="6">
        <f t="shared" si="13"/>
        <v>3.4828882722403545E-2</v>
      </c>
      <c r="AD113" s="2">
        <f t="shared" si="11"/>
        <v>132320225</v>
      </c>
    </row>
    <row r="114" spans="1:30" x14ac:dyDescent="0.25">
      <c r="A114" s="175" t="s">
        <v>271</v>
      </c>
      <c r="W114" s="23">
        <v>88595</v>
      </c>
    </row>
    <row r="115" spans="1:30" x14ac:dyDescent="0.25">
      <c r="B115" s="67"/>
    </row>
    <row r="117" spans="1:30" x14ac:dyDescent="0.25">
      <c r="T117" s="202"/>
    </row>
  </sheetData>
  <phoneticPr fontId="0" type="noConversion"/>
  <printOptions gridLines="1"/>
  <pageMargins left="0.4" right="0.4" top="0.83333333333333337" bottom="0.83333333333333337" header="0.33333333333333337" footer="0.33333333333333337"/>
  <pageSetup scale="86" fitToWidth="2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0"/>
  <sheetViews>
    <sheetView topLeftCell="A37" workbookViewId="0">
      <pane xSplit="1" topLeftCell="O1" activePane="topRight" state="frozen"/>
      <selection pane="topRight" activeCell="AE18" sqref="AE18"/>
    </sheetView>
  </sheetViews>
  <sheetFormatPr defaultRowHeight="13.2" x14ac:dyDescent="0.25"/>
  <cols>
    <col min="1" max="1" width="30" customWidth="1"/>
    <col min="2" max="2" width="15.33203125" customWidth="1"/>
    <col min="3" max="3" width="16.33203125" customWidth="1"/>
    <col min="4" max="4" width="8" bestFit="1" customWidth="1"/>
    <col min="5" max="5" width="15" customWidth="1"/>
    <col min="6" max="6" width="7.44140625" bestFit="1" customWidth="1"/>
    <col min="7" max="10" width="15" customWidth="1"/>
    <col min="11" max="11" width="15" style="48" customWidth="1"/>
    <col min="12" max="13" width="15" customWidth="1"/>
    <col min="14" max="14" width="15" style="48" customWidth="1"/>
    <col min="15" max="15" width="9.109375" style="48"/>
    <col min="16" max="16" width="15.6640625" style="48" customWidth="1"/>
    <col min="17" max="17" width="14.44140625" style="48" bestFit="1" customWidth="1"/>
    <col min="18" max="23" width="15" style="48" bestFit="1" customWidth="1"/>
    <col min="24" max="24" width="14.44140625" style="48" bestFit="1" customWidth="1"/>
    <col min="25" max="25" width="8" bestFit="1" customWidth="1"/>
    <col min="26" max="26" width="14.44140625" bestFit="1" customWidth="1"/>
    <col min="27" max="27" width="10.109375" bestFit="1" customWidth="1"/>
    <col min="28" max="28" width="20" bestFit="1" customWidth="1"/>
    <col min="29" max="29" width="9.33203125" customWidth="1"/>
    <col min="30" max="30" width="13.88671875" bestFit="1" customWidth="1"/>
  </cols>
  <sheetData>
    <row r="1" spans="1:28" x14ac:dyDescent="0.25">
      <c r="A1" t="s">
        <v>133</v>
      </c>
    </row>
    <row r="4" spans="1:28" x14ac:dyDescent="0.25">
      <c r="C4" s="35" t="s">
        <v>120</v>
      </c>
      <c r="D4" s="35"/>
      <c r="E4" s="35" t="s">
        <v>121</v>
      </c>
      <c r="F4" s="35"/>
      <c r="G4" s="35" t="s">
        <v>125</v>
      </c>
      <c r="H4" s="35" t="s">
        <v>161</v>
      </c>
      <c r="I4" s="35" t="s">
        <v>165</v>
      </c>
      <c r="J4" s="36" t="s">
        <v>175</v>
      </c>
      <c r="K4" s="36" t="s">
        <v>176</v>
      </c>
      <c r="L4" s="35" t="s">
        <v>186</v>
      </c>
      <c r="M4" s="36" t="s">
        <v>187</v>
      </c>
      <c r="N4" s="36" t="s">
        <v>188</v>
      </c>
      <c r="P4" s="203" t="s">
        <v>248</v>
      </c>
      <c r="Q4" s="203" t="s">
        <v>249</v>
      </c>
      <c r="R4" s="203" t="s">
        <v>250</v>
      </c>
      <c r="S4" s="203" t="s">
        <v>251</v>
      </c>
      <c r="T4" s="203" t="s">
        <v>252</v>
      </c>
      <c r="U4" s="203" t="s">
        <v>253</v>
      </c>
      <c r="V4" s="203" t="s">
        <v>254</v>
      </c>
      <c r="W4" s="203" t="s">
        <v>255</v>
      </c>
      <c r="X4" s="174" t="s">
        <v>256</v>
      </c>
      <c r="Y4" s="48"/>
      <c r="Z4" s="174" t="s">
        <v>257</v>
      </c>
      <c r="AB4" s="174" t="s">
        <v>264</v>
      </c>
    </row>
    <row r="5" spans="1:28" x14ac:dyDescent="0.25">
      <c r="A5" t="s">
        <v>144</v>
      </c>
      <c r="C5" s="2"/>
      <c r="D5" s="2"/>
      <c r="E5" s="2">
        <f>Spending!B94</f>
        <v>657074825</v>
      </c>
      <c r="F5" s="2"/>
      <c r="G5" s="2">
        <f>Spending!B95</f>
        <v>690870348</v>
      </c>
      <c r="H5" s="2">
        <f>Spending!B96</f>
        <v>734855767</v>
      </c>
      <c r="I5" s="2">
        <f>Spending!B97</f>
        <v>787982293</v>
      </c>
      <c r="J5" s="29">
        <f>Spending!B98</f>
        <v>833390833</v>
      </c>
      <c r="K5" s="29">
        <f>Spending!B99</f>
        <v>877590632</v>
      </c>
      <c r="L5" s="2">
        <v>920957459</v>
      </c>
      <c r="M5" s="2">
        <v>959463148</v>
      </c>
      <c r="N5" s="2">
        <v>1013773347</v>
      </c>
      <c r="P5" s="2">
        <v>1037678209</v>
      </c>
      <c r="Q5" s="2">
        <v>1070740470</v>
      </c>
      <c r="R5" s="73">
        <v>1099242211</v>
      </c>
      <c r="S5" s="73">
        <v>1116049448</v>
      </c>
      <c r="T5" s="73">
        <v>1116130940</v>
      </c>
      <c r="U5" s="73">
        <v>1136255077</v>
      </c>
      <c r="V5" s="73">
        <v>1153336797</v>
      </c>
      <c r="W5" s="73">
        <v>1179359771</v>
      </c>
      <c r="X5" s="2">
        <v>1199964323</v>
      </c>
      <c r="Z5" s="2">
        <v>1227267562</v>
      </c>
      <c r="AB5" s="2">
        <v>1249095573</v>
      </c>
    </row>
    <row r="6" spans="1:28" x14ac:dyDescent="0.25">
      <c r="A6" t="s">
        <v>132</v>
      </c>
      <c r="C6" s="2"/>
      <c r="D6" s="2"/>
      <c r="E6" s="2">
        <f>Spending!C94</f>
        <v>230016838</v>
      </c>
      <c r="F6" s="2"/>
      <c r="G6" s="2">
        <f>Spending!C95</f>
        <v>251043065</v>
      </c>
      <c r="H6" s="2">
        <f>Spending!C96</f>
        <v>279080873</v>
      </c>
      <c r="I6" s="2">
        <f>Spending!C97</f>
        <v>313920798</v>
      </c>
      <c r="J6" s="29">
        <f>Spending!C98</f>
        <v>343675469</v>
      </c>
      <c r="K6" s="29">
        <f>Spending!C99</f>
        <v>368625189</v>
      </c>
      <c r="L6" s="2">
        <v>391977486</v>
      </c>
      <c r="M6" s="2">
        <v>415946689</v>
      </c>
      <c r="N6" s="2">
        <v>448968560</v>
      </c>
      <c r="P6" s="2">
        <v>473442456</v>
      </c>
      <c r="Q6" s="2">
        <v>508089836</v>
      </c>
      <c r="R6" s="70">
        <v>521652296</v>
      </c>
      <c r="S6" s="70">
        <v>518250396</v>
      </c>
      <c r="T6" s="70">
        <v>520481101</v>
      </c>
      <c r="U6" s="70">
        <v>531603326</v>
      </c>
      <c r="V6" s="70">
        <v>533232787</v>
      </c>
      <c r="W6" s="70">
        <v>552956963</v>
      </c>
      <c r="X6" s="2">
        <v>566549771</v>
      </c>
      <c r="Z6" s="67">
        <v>595636726</v>
      </c>
      <c r="AB6" s="2">
        <v>610556847</v>
      </c>
    </row>
    <row r="7" spans="1:28" x14ac:dyDescent="0.25">
      <c r="A7" t="s">
        <v>146</v>
      </c>
      <c r="C7" s="2"/>
      <c r="D7" s="2"/>
      <c r="E7" s="2">
        <f>Spending!D94</f>
        <v>27470925</v>
      </c>
      <c r="F7" s="2"/>
      <c r="G7" s="2">
        <f>Spending!D95</f>
        <v>28162661</v>
      </c>
      <c r="H7" s="2">
        <f>Spending!D96</f>
        <v>30832172</v>
      </c>
      <c r="I7" s="2">
        <f>Spending!D97</f>
        <v>32793228</v>
      </c>
      <c r="J7" s="29">
        <f>Spending!D98</f>
        <v>34090669</v>
      </c>
      <c r="K7" s="29">
        <f>Spending!D99</f>
        <v>34951311</v>
      </c>
      <c r="L7" s="2">
        <v>34986834</v>
      </c>
      <c r="M7" s="2">
        <v>39437805</v>
      </c>
      <c r="N7" s="2">
        <v>38691765</v>
      </c>
      <c r="P7" s="2">
        <v>40084522</v>
      </c>
      <c r="Q7" s="2">
        <v>40552146</v>
      </c>
      <c r="R7" s="70">
        <v>41533430</v>
      </c>
      <c r="S7" s="70">
        <v>39914187</v>
      </c>
      <c r="T7" s="70">
        <v>39406698</v>
      </c>
      <c r="U7" s="70">
        <v>39603679</v>
      </c>
      <c r="V7" s="70">
        <v>39870558</v>
      </c>
      <c r="W7" s="70">
        <v>40355315</v>
      </c>
      <c r="X7" s="2">
        <v>39306678</v>
      </c>
      <c r="Z7" s="2">
        <v>40039216</v>
      </c>
      <c r="AB7" s="2">
        <v>40459610</v>
      </c>
    </row>
    <row r="8" spans="1:28" x14ac:dyDescent="0.25">
      <c r="A8" t="s">
        <v>147</v>
      </c>
      <c r="C8" s="2"/>
      <c r="D8" s="2"/>
      <c r="E8" s="2">
        <f>Spending!E94</f>
        <v>20317309</v>
      </c>
      <c r="F8" s="2"/>
      <c r="G8" s="2">
        <f>Spending!E95</f>
        <v>22924832</v>
      </c>
      <c r="H8" s="2">
        <f>Spending!E96</f>
        <v>26743064</v>
      </c>
      <c r="I8" s="2">
        <f>Spending!E97</f>
        <v>28183122</v>
      </c>
      <c r="J8" s="29">
        <f>Spending!E98</f>
        <v>29247279</v>
      </c>
      <c r="K8" s="29">
        <f>Spending!E99</f>
        <v>32378628</v>
      </c>
      <c r="L8" s="2">
        <v>33458800</v>
      </c>
      <c r="M8" s="2">
        <v>35842446</v>
      </c>
      <c r="N8" s="2">
        <v>38171764</v>
      </c>
      <c r="P8" s="2">
        <v>40409492</v>
      </c>
      <c r="Q8" s="2">
        <v>41030433</v>
      </c>
      <c r="R8" s="70">
        <v>42465238</v>
      </c>
      <c r="S8" s="70">
        <v>44264565</v>
      </c>
      <c r="T8" s="70">
        <v>44558290</v>
      </c>
      <c r="U8" s="70">
        <v>45359416</v>
      </c>
      <c r="V8" s="70">
        <v>46654971</v>
      </c>
      <c r="W8" s="70">
        <v>48084976</v>
      </c>
      <c r="X8" s="2">
        <v>48653918</v>
      </c>
      <c r="Z8" s="2">
        <v>49595526</v>
      </c>
      <c r="AB8" s="2">
        <v>51417495</v>
      </c>
    </row>
    <row r="9" spans="1:28" x14ac:dyDescent="0.25">
      <c r="A9" t="s">
        <v>148</v>
      </c>
      <c r="C9" s="2"/>
      <c r="D9" s="2"/>
      <c r="E9" s="2">
        <f>Spending!F94</f>
        <v>90618068</v>
      </c>
      <c r="F9" s="2"/>
      <c r="G9" s="2">
        <f>Spending!F95</f>
        <v>97607470</v>
      </c>
      <c r="H9" s="2">
        <f>Spending!F96</f>
        <v>109027396</v>
      </c>
      <c r="I9" s="2">
        <f>Spending!F97</f>
        <v>118163163</v>
      </c>
      <c r="J9" s="29">
        <f>Spending!F98</f>
        <v>127724898</v>
      </c>
      <c r="K9" s="29">
        <f>Spending!F99</f>
        <v>136555573</v>
      </c>
      <c r="L9" s="2">
        <v>147296508</v>
      </c>
      <c r="M9" s="2">
        <v>154621231</v>
      </c>
      <c r="N9" s="2">
        <v>164875015</v>
      </c>
      <c r="P9" s="2">
        <v>174446558</v>
      </c>
      <c r="Q9" s="2">
        <v>184023587</v>
      </c>
      <c r="R9" s="70">
        <v>190349371</v>
      </c>
      <c r="S9" s="70">
        <v>197396778</v>
      </c>
      <c r="T9" s="70">
        <v>198831718</v>
      </c>
      <c r="U9" s="70">
        <v>204117287</v>
      </c>
      <c r="V9" s="70">
        <v>210268577</v>
      </c>
      <c r="W9" s="70">
        <v>218592854</v>
      </c>
      <c r="X9" s="2">
        <v>222533410</v>
      </c>
      <c r="Z9" s="2">
        <v>232146740</v>
      </c>
      <c r="AB9" s="2">
        <v>240760002</v>
      </c>
    </row>
    <row r="10" spans="1:28" x14ac:dyDescent="0.25">
      <c r="A10" t="s">
        <v>149</v>
      </c>
      <c r="C10" s="2"/>
      <c r="D10" s="2"/>
      <c r="E10" s="2">
        <f>Spending!G94</f>
        <v>42820403</v>
      </c>
      <c r="F10" s="2"/>
      <c r="G10" s="2">
        <f>Spending!G95</f>
        <v>47178383</v>
      </c>
      <c r="H10" s="2">
        <f>Spending!G96</f>
        <v>54060866</v>
      </c>
      <c r="I10" s="2">
        <f>Spending!G97</f>
        <v>57970732</v>
      </c>
      <c r="J10" s="29">
        <f>Spending!G98</f>
        <v>61608484</v>
      </c>
      <c r="K10" s="29">
        <f>Spending!G99</f>
        <v>66645852</v>
      </c>
      <c r="L10" s="2">
        <v>70934627</v>
      </c>
      <c r="M10" s="2">
        <v>75401603</v>
      </c>
      <c r="N10" s="2">
        <v>79038059</v>
      </c>
      <c r="P10" s="2">
        <v>85507901</v>
      </c>
      <c r="Q10" s="2">
        <v>86735835</v>
      </c>
      <c r="R10" s="70">
        <v>87561502</v>
      </c>
      <c r="S10" s="70">
        <v>87654962</v>
      </c>
      <c r="T10" s="70">
        <v>89918683</v>
      </c>
      <c r="U10" s="70">
        <v>90283985</v>
      </c>
      <c r="V10" s="70">
        <v>96040326</v>
      </c>
      <c r="W10" s="70">
        <v>101635906</v>
      </c>
      <c r="X10" s="2">
        <v>105349693</v>
      </c>
      <c r="Z10" s="2">
        <v>104149679</v>
      </c>
      <c r="AB10" s="2">
        <v>105629780</v>
      </c>
    </row>
    <row r="11" spans="1:28" x14ac:dyDescent="0.25">
      <c r="A11" t="s">
        <v>150</v>
      </c>
      <c r="C11" s="2"/>
      <c r="D11" s="2"/>
      <c r="E11" s="2">
        <f>Spending!H94</f>
        <v>50749665</v>
      </c>
      <c r="F11" s="2"/>
      <c r="G11" s="2">
        <f>Spending!H95</f>
        <v>54987607</v>
      </c>
      <c r="H11" s="2">
        <f>Spending!H96</f>
        <v>59436520</v>
      </c>
      <c r="I11" s="2">
        <f>Spending!H97</f>
        <v>67346415</v>
      </c>
      <c r="J11" s="29">
        <f>Spending!H98</f>
        <v>70147507</v>
      </c>
      <c r="K11" s="29">
        <f>Spending!H99</f>
        <v>76656540</v>
      </c>
      <c r="L11" s="2">
        <v>80676812</v>
      </c>
      <c r="M11" s="2">
        <v>86767132</v>
      </c>
      <c r="N11" s="2">
        <v>92837894</v>
      </c>
      <c r="P11" s="2">
        <v>97950702</v>
      </c>
      <c r="Q11" s="2">
        <v>101578756</v>
      </c>
      <c r="R11" s="70">
        <v>100422680</v>
      </c>
      <c r="S11" s="70">
        <v>103822503</v>
      </c>
      <c r="T11" s="70">
        <v>106436990</v>
      </c>
      <c r="U11" s="70">
        <v>110603390</v>
      </c>
      <c r="V11" s="70">
        <v>117292917</v>
      </c>
      <c r="W11" s="70">
        <v>121194097</v>
      </c>
      <c r="X11" s="2">
        <v>126818929</v>
      </c>
      <c r="Z11" s="2">
        <v>128084947</v>
      </c>
      <c r="AB11" s="2">
        <v>132033788</v>
      </c>
    </row>
    <row r="12" spans="1:28" x14ac:dyDescent="0.25">
      <c r="A12" t="s">
        <v>151</v>
      </c>
      <c r="C12" s="2"/>
      <c r="D12" s="2"/>
      <c r="E12" s="2">
        <f>Spending!I94</f>
        <v>79234105</v>
      </c>
      <c r="F12" s="2"/>
      <c r="G12" s="2">
        <f>Spending!I95</f>
        <v>85643253</v>
      </c>
      <c r="H12" s="2">
        <f>Spending!I96</f>
        <v>93398981</v>
      </c>
      <c r="I12" s="2">
        <f>Spending!I97</f>
        <v>100837363</v>
      </c>
      <c r="J12" s="29">
        <f>Spending!I98</f>
        <v>105933786</v>
      </c>
      <c r="K12" s="29">
        <f>Spending!I99</f>
        <v>111256566</v>
      </c>
      <c r="L12" s="2">
        <v>116747169</v>
      </c>
      <c r="M12" s="2">
        <v>123341956</v>
      </c>
      <c r="N12" s="2">
        <v>130024743</v>
      </c>
      <c r="P12" s="2">
        <v>134870384</v>
      </c>
      <c r="Q12" s="2">
        <v>137195717</v>
      </c>
      <c r="R12" s="70">
        <v>140639608</v>
      </c>
      <c r="S12" s="70">
        <v>145183401</v>
      </c>
      <c r="T12" s="70">
        <v>145819210</v>
      </c>
      <c r="U12" s="70">
        <v>152300090</v>
      </c>
      <c r="V12" s="70">
        <v>154041580</v>
      </c>
      <c r="W12" s="70">
        <v>158975595</v>
      </c>
      <c r="X12" s="2">
        <v>161566524</v>
      </c>
      <c r="Z12" s="2">
        <v>168504728</v>
      </c>
      <c r="AB12" s="2">
        <v>170731590</v>
      </c>
    </row>
    <row r="13" spans="1:28" x14ac:dyDescent="0.25">
      <c r="A13" t="s">
        <v>99</v>
      </c>
      <c r="C13" s="2"/>
      <c r="D13" s="2"/>
      <c r="E13" s="2">
        <f>Spending!J94</f>
        <v>6231479</v>
      </c>
      <c r="F13" s="2"/>
      <c r="G13" s="2">
        <f>Spending!J95</f>
        <v>7023726</v>
      </c>
      <c r="H13" s="2">
        <f>Spending!J96</f>
        <v>7899798</v>
      </c>
      <c r="I13" s="2">
        <f>Spending!J97</f>
        <v>8621685</v>
      </c>
      <c r="J13" s="29">
        <f>Spending!J98</f>
        <v>9848059</v>
      </c>
      <c r="K13" s="29">
        <f>Spending!J99</f>
        <v>11599038</v>
      </c>
      <c r="L13" s="2">
        <v>12741851</v>
      </c>
      <c r="M13" s="2">
        <v>12078932</v>
      </c>
      <c r="N13" s="2">
        <v>13255454</v>
      </c>
      <c r="P13" s="2">
        <v>13778424</v>
      </c>
      <c r="Q13" s="2">
        <v>14305727</v>
      </c>
      <c r="R13" s="70">
        <v>15918467</v>
      </c>
      <c r="S13" s="70">
        <v>14737707</v>
      </c>
      <c r="T13" s="70">
        <v>15636681</v>
      </c>
      <c r="U13" s="70">
        <v>16666968</v>
      </c>
      <c r="V13" s="70">
        <v>17065107</v>
      </c>
      <c r="W13" s="70">
        <v>17350831</v>
      </c>
      <c r="X13" s="2">
        <v>18601970</v>
      </c>
      <c r="Z13" s="2">
        <v>20164017</v>
      </c>
      <c r="AB13" s="2">
        <v>21139499</v>
      </c>
    </row>
    <row r="14" spans="1:28" x14ac:dyDescent="0.25">
      <c r="A14" t="s">
        <v>152</v>
      </c>
      <c r="C14" s="2"/>
      <c r="D14" s="2"/>
      <c r="E14" s="2">
        <f>Spending!K94</f>
        <v>121698931</v>
      </c>
      <c r="F14" s="2"/>
      <c r="G14" s="2">
        <f>Spending!K95</f>
        <v>133447376</v>
      </c>
      <c r="H14" s="2">
        <f>Spending!K96</f>
        <v>138706666</v>
      </c>
      <c r="I14" s="2">
        <f>Spending!K97</f>
        <v>149718163</v>
      </c>
      <c r="J14" s="29">
        <f>Spending!K98</f>
        <v>160479835</v>
      </c>
      <c r="K14" s="29">
        <f>Spending!K99</f>
        <v>173990944</v>
      </c>
      <c r="L14" s="2">
        <v>188332396</v>
      </c>
      <c r="M14" s="2">
        <v>198964593</v>
      </c>
      <c r="N14" s="2">
        <v>214373185</v>
      </c>
      <c r="P14" s="2">
        <v>224233619</v>
      </c>
      <c r="Q14" s="2">
        <v>218636212</v>
      </c>
      <c r="R14" s="70">
        <v>220967729</v>
      </c>
      <c r="S14" s="70">
        <v>221157807</v>
      </c>
      <c r="T14" s="70">
        <v>223352642</v>
      </c>
      <c r="U14" s="70">
        <v>236226375</v>
      </c>
      <c r="V14" s="70">
        <v>240493989</v>
      </c>
      <c r="W14" s="70">
        <v>234635606</v>
      </c>
      <c r="X14" s="2">
        <v>237987563</v>
      </c>
      <c r="Z14" s="2">
        <v>243271198</v>
      </c>
      <c r="AB14" s="2">
        <v>255525038</v>
      </c>
    </row>
    <row r="15" spans="1:28" x14ac:dyDescent="0.25">
      <c r="A15" t="s">
        <v>103</v>
      </c>
      <c r="C15" s="2"/>
      <c r="D15" s="2"/>
      <c r="E15" s="2">
        <f>Spending!L94</f>
        <v>61229392</v>
      </c>
      <c r="F15" s="2"/>
      <c r="G15" s="2">
        <f>Spending!L95</f>
        <v>66473642</v>
      </c>
      <c r="H15" s="2">
        <f>Spending!L96</f>
        <v>72670751</v>
      </c>
      <c r="I15" s="2">
        <f>Spending!L97</f>
        <v>78661062</v>
      </c>
      <c r="J15" s="29">
        <f>Spending!L98</f>
        <v>82716056</v>
      </c>
      <c r="K15" s="29">
        <f>Spending!L99</f>
        <v>86207510</v>
      </c>
      <c r="L15" s="2">
        <v>92250954</v>
      </c>
      <c r="M15" s="2">
        <v>97372775</v>
      </c>
      <c r="N15" s="2">
        <v>103662630</v>
      </c>
      <c r="P15" s="2">
        <v>107522931</v>
      </c>
      <c r="Q15" s="2">
        <v>110002544</v>
      </c>
      <c r="R15" s="70">
        <v>113494761</v>
      </c>
      <c r="S15" s="70">
        <v>114109938</v>
      </c>
      <c r="T15" s="70">
        <v>117405007</v>
      </c>
      <c r="U15" s="70">
        <v>121658915</v>
      </c>
      <c r="V15" s="70">
        <v>124125366</v>
      </c>
      <c r="W15" s="70">
        <v>127128052</v>
      </c>
      <c r="X15" s="2">
        <v>128816686</v>
      </c>
      <c r="Z15" s="2">
        <v>134494791</v>
      </c>
      <c r="AB15" s="2">
        <v>140228168</v>
      </c>
    </row>
    <row r="16" spans="1:28" x14ac:dyDescent="0.25">
      <c r="A16" t="s">
        <v>153</v>
      </c>
      <c r="C16" s="2"/>
      <c r="D16" s="2"/>
      <c r="E16" s="2">
        <f>Spending!M94</f>
        <v>195751</v>
      </c>
      <c r="F16" s="2"/>
      <c r="G16" s="2">
        <f>Spending!M95</f>
        <v>368370</v>
      </c>
      <c r="H16" s="2">
        <f>Spending!M96</f>
        <v>511330</v>
      </c>
      <c r="I16" s="2">
        <f>Spending!M97</f>
        <v>297172</v>
      </c>
      <c r="J16" s="29">
        <f>Spending!M98</f>
        <v>880103</v>
      </c>
      <c r="K16" s="29">
        <f>Spending!M99</f>
        <v>374917</v>
      </c>
      <c r="L16" s="2">
        <v>264281</v>
      </c>
      <c r="M16" s="2">
        <v>254051</v>
      </c>
      <c r="N16" s="2">
        <v>347873</v>
      </c>
      <c r="P16" s="2">
        <v>733654</v>
      </c>
      <c r="Q16" s="2">
        <v>299436</v>
      </c>
      <c r="R16" s="70">
        <v>437666</v>
      </c>
      <c r="S16" s="70">
        <v>240022</v>
      </c>
      <c r="T16" s="70">
        <v>205439</v>
      </c>
      <c r="U16" s="70">
        <v>158422</v>
      </c>
      <c r="V16" s="70">
        <v>346640</v>
      </c>
      <c r="W16" s="70">
        <v>372221</v>
      </c>
      <c r="X16" s="2">
        <v>454419</v>
      </c>
      <c r="Z16" s="2">
        <v>644797</v>
      </c>
      <c r="AB16" s="2">
        <v>368985</v>
      </c>
    </row>
    <row r="17" spans="1:30" x14ac:dyDescent="0.25">
      <c r="A17" t="s">
        <v>154</v>
      </c>
      <c r="C17" s="2"/>
      <c r="D17" s="2"/>
      <c r="E17" s="2">
        <f>Spending!N94</f>
        <v>3492943</v>
      </c>
      <c r="F17" s="2"/>
      <c r="G17" s="2">
        <f>Spending!N95</f>
        <v>4413859</v>
      </c>
      <c r="H17" s="2">
        <f>Spending!N96</f>
        <v>5748864</v>
      </c>
      <c r="I17" s="2">
        <f>Spending!N97</f>
        <v>6566459</v>
      </c>
      <c r="J17" s="29">
        <f>Spending!N98</f>
        <v>6890046</v>
      </c>
      <c r="K17" s="29">
        <f>Spending!N99</f>
        <v>6037041</v>
      </c>
      <c r="L17" s="2">
        <v>6491987</v>
      </c>
      <c r="M17" s="2">
        <v>6517478</v>
      </c>
      <c r="N17" s="2">
        <v>6582232</v>
      </c>
      <c r="P17" s="2">
        <v>6800562</v>
      </c>
      <c r="Q17" s="2">
        <v>7637367</v>
      </c>
      <c r="R17" s="70">
        <v>7705374</v>
      </c>
      <c r="S17" s="70">
        <v>7275595</v>
      </c>
      <c r="T17" s="70">
        <v>6369479</v>
      </c>
      <c r="U17" s="70">
        <v>6172431</v>
      </c>
      <c r="V17" s="70">
        <v>6286868</v>
      </c>
      <c r="W17" s="70">
        <v>6574135</v>
      </c>
      <c r="X17" s="2">
        <v>6222108</v>
      </c>
      <c r="Z17" s="2">
        <v>5780044</v>
      </c>
      <c r="AB17" s="2">
        <v>5775753</v>
      </c>
    </row>
    <row r="18" spans="1:30" x14ac:dyDescent="0.25">
      <c r="A18" t="s">
        <v>163</v>
      </c>
      <c r="C18" s="2"/>
      <c r="D18" s="2"/>
      <c r="E18" s="2">
        <f>Spending!O94</f>
        <v>28026386</v>
      </c>
      <c r="F18" s="2"/>
      <c r="G18" s="2">
        <f>Spending!O95</f>
        <v>33014855</v>
      </c>
      <c r="H18" s="2">
        <f>Spending!O96</f>
        <v>34784259</v>
      </c>
      <c r="I18" s="2">
        <f>Spending!O97</f>
        <v>39124270</v>
      </c>
      <c r="J18" s="29">
        <f>Spending!O98</f>
        <v>43183391</v>
      </c>
      <c r="K18" s="29">
        <f>Spending!O99</f>
        <v>48783166</v>
      </c>
      <c r="L18" s="2">
        <v>49262754</v>
      </c>
      <c r="M18" s="2">
        <v>52042734</v>
      </c>
      <c r="N18" s="2">
        <v>48357894</v>
      </c>
      <c r="O18" s="49"/>
      <c r="P18" s="2">
        <v>45591427</v>
      </c>
      <c r="Q18" s="2">
        <v>44621384</v>
      </c>
      <c r="R18" s="70">
        <v>44798730</v>
      </c>
      <c r="S18" s="70">
        <v>45468957</v>
      </c>
      <c r="T18" s="70">
        <v>43456447</v>
      </c>
      <c r="U18" s="70">
        <v>41362251</v>
      </c>
      <c r="V18" s="70">
        <v>41185252</v>
      </c>
      <c r="W18" s="70">
        <v>41986085</v>
      </c>
      <c r="X18" s="2">
        <v>45629499</v>
      </c>
      <c r="Z18" s="2">
        <v>44834680</v>
      </c>
      <c r="AB18" s="2">
        <v>44059041</v>
      </c>
    </row>
    <row r="19" spans="1:30" x14ac:dyDescent="0.25">
      <c r="A19" t="s">
        <v>164</v>
      </c>
      <c r="C19" s="2"/>
      <c r="D19" s="2"/>
      <c r="E19" s="2">
        <f>Spending!Q94</f>
        <v>388100</v>
      </c>
      <c r="F19" s="2"/>
      <c r="G19" s="2">
        <f>Spending!Q95</f>
        <v>109822</v>
      </c>
      <c r="H19" s="2">
        <f>Spending!Q96</f>
        <v>231267</v>
      </c>
      <c r="I19" s="2">
        <f>Spending!Q97</f>
        <v>161471</v>
      </c>
      <c r="J19" s="29">
        <f>Spending!Q98</f>
        <v>384403</v>
      </c>
      <c r="K19" s="29">
        <f>Spending!Q99</f>
        <v>825456</v>
      </c>
      <c r="L19" s="2">
        <v>1465575</v>
      </c>
      <c r="M19" s="2">
        <v>610661</v>
      </c>
      <c r="N19" s="2">
        <v>545095</v>
      </c>
      <c r="O19" s="49"/>
      <c r="P19" s="2">
        <v>557072</v>
      </c>
      <c r="Q19" s="2">
        <v>435341</v>
      </c>
      <c r="R19" s="70">
        <v>1120037</v>
      </c>
      <c r="S19" s="70">
        <v>1004549</v>
      </c>
      <c r="T19" s="70">
        <v>728886</v>
      </c>
      <c r="U19" s="70">
        <v>854573</v>
      </c>
      <c r="V19" s="70">
        <v>1127642</v>
      </c>
      <c r="W19" s="70">
        <v>1705251</v>
      </c>
      <c r="X19" s="2">
        <v>2636468</v>
      </c>
      <c r="Z19" s="2">
        <v>2453671</v>
      </c>
      <c r="AB19" s="2">
        <v>2540320</v>
      </c>
      <c r="AD19" s="2"/>
    </row>
    <row r="20" spans="1:30" x14ac:dyDescent="0.25">
      <c r="A20" t="s">
        <v>104</v>
      </c>
      <c r="C20" s="2"/>
      <c r="D20" s="2"/>
      <c r="E20" s="2">
        <f>Spending!R94</f>
        <v>14356223</v>
      </c>
      <c r="F20" s="2"/>
      <c r="G20" s="2">
        <f>Spending!R95</f>
        <v>15400105</v>
      </c>
      <c r="H20" s="2">
        <f>Spending!R96</f>
        <v>16335997</v>
      </c>
      <c r="I20" s="2">
        <f>Spending!R97</f>
        <v>17711638</v>
      </c>
      <c r="J20" s="29">
        <f>Spending!R98</f>
        <v>18894166</v>
      </c>
      <c r="K20" s="29">
        <f>Spending!R99</f>
        <v>19937863</v>
      </c>
      <c r="L20" s="2">
        <v>20903202</v>
      </c>
      <c r="M20" s="2">
        <v>22281193</v>
      </c>
      <c r="N20" s="2">
        <v>24220636</v>
      </c>
      <c r="O20" s="49"/>
      <c r="P20" s="2">
        <v>25393600</v>
      </c>
      <c r="Q20" s="2">
        <v>27608366</v>
      </c>
      <c r="R20" s="70">
        <v>31179384</v>
      </c>
      <c r="S20" s="70">
        <v>32921520</v>
      </c>
      <c r="T20" s="70">
        <v>33845510</v>
      </c>
      <c r="U20" s="70">
        <v>34640823</v>
      </c>
      <c r="V20" s="70">
        <v>34303383</v>
      </c>
      <c r="W20" s="70">
        <v>34831964</v>
      </c>
      <c r="X20" s="2">
        <v>33860801</v>
      </c>
      <c r="Z20" s="2">
        <v>33617749</v>
      </c>
      <c r="AB20" s="2">
        <v>34467869</v>
      </c>
    </row>
    <row r="21" spans="1:30" x14ac:dyDescent="0.25">
      <c r="A21" t="s">
        <v>158</v>
      </c>
      <c r="C21" s="2"/>
      <c r="D21" s="2"/>
      <c r="E21" s="2">
        <f>Spending!S94</f>
        <v>107150317</v>
      </c>
      <c r="F21" s="2"/>
      <c r="G21" s="2">
        <f>Spending!S95</f>
        <v>142741579</v>
      </c>
      <c r="H21" s="2">
        <f>Spending!S96</f>
        <v>160814498</v>
      </c>
      <c r="I21" s="2">
        <f>Spending!S97</f>
        <v>188733490</v>
      </c>
      <c r="J21" s="29">
        <f>Spending!S98</f>
        <v>173673353</v>
      </c>
      <c r="K21" s="29">
        <f>Spending!S99</f>
        <v>138598107</v>
      </c>
      <c r="L21" s="2">
        <v>174616065</v>
      </c>
      <c r="M21" s="2">
        <v>176251409</v>
      </c>
      <c r="N21" s="2">
        <v>134172855</v>
      </c>
      <c r="O21" s="49"/>
      <c r="P21" s="2">
        <v>80835378</v>
      </c>
      <c r="Q21" s="2">
        <v>97171268</v>
      </c>
      <c r="R21" s="76">
        <v>173756309</v>
      </c>
      <c r="S21" s="76">
        <v>125685550</v>
      </c>
      <c r="T21" s="76">
        <v>38369451</v>
      </c>
      <c r="U21" s="76">
        <v>52544557</v>
      </c>
      <c r="V21" s="76">
        <v>86923711</v>
      </c>
      <c r="W21" s="76">
        <v>99693705</v>
      </c>
      <c r="X21" s="2">
        <v>104341482</v>
      </c>
      <c r="Z21" s="2">
        <v>127934366</v>
      </c>
      <c r="AB21" s="2">
        <v>165850689</v>
      </c>
    </row>
    <row r="22" spans="1:30" x14ac:dyDescent="0.25">
      <c r="A22" s="48" t="s">
        <v>156</v>
      </c>
      <c r="B22" s="48"/>
      <c r="C22" s="61"/>
      <c r="D22" s="61"/>
      <c r="E22" s="61">
        <f>Spending!P94</f>
        <v>49631540</v>
      </c>
      <c r="F22" s="61"/>
      <c r="G22" s="61">
        <f>Spending!P95</f>
        <v>60450671</v>
      </c>
      <c r="H22" s="61">
        <f>Spending!P96</f>
        <v>63937659</v>
      </c>
      <c r="I22" s="61">
        <f>Spending!P97</f>
        <v>68214974</v>
      </c>
      <c r="J22" s="51">
        <f>Spending!P98</f>
        <v>77847580</v>
      </c>
      <c r="K22" s="51">
        <f>Spending!P99</f>
        <v>88933867</v>
      </c>
      <c r="L22" s="2">
        <v>93626393</v>
      </c>
      <c r="M22" s="2">
        <v>96518977</v>
      </c>
      <c r="N22" s="2">
        <v>102118643</v>
      </c>
      <c r="O22" s="49"/>
      <c r="P22" s="2">
        <v>103170648</v>
      </c>
      <c r="Q22" s="2">
        <v>103872686</v>
      </c>
      <c r="R22" s="76">
        <v>101283387</v>
      </c>
      <c r="S22" s="76">
        <v>105255247</v>
      </c>
      <c r="T22" s="76">
        <v>102103349</v>
      </c>
      <c r="U22" s="76">
        <v>94172003</v>
      </c>
      <c r="V22" s="76">
        <v>94358445</v>
      </c>
      <c r="W22" s="76">
        <v>93471647</v>
      </c>
      <c r="X22" s="2">
        <v>87756967</v>
      </c>
      <c r="Z22" s="2">
        <v>87231401</v>
      </c>
      <c r="AB22" s="2">
        <v>88261184</v>
      </c>
      <c r="AD22" s="2"/>
    </row>
    <row r="23" spans="1:30" x14ac:dyDescent="0.25">
      <c r="A23" s="62" t="s">
        <v>159</v>
      </c>
      <c r="B23" s="32"/>
      <c r="C23" s="33"/>
      <c r="D23" s="33"/>
      <c r="E23" s="33">
        <f>Spending!U94</f>
        <v>66525715</v>
      </c>
      <c r="F23" s="33"/>
      <c r="G23" s="33">
        <f>Spending!U95</f>
        <v>70382904</v>
      </c>
      <c r="H23" s="33">
        <f>Spending!U96</f>
        <v>72709320</v>
      </c>
      <c r="I23" s="33">
        <f>Spending!U97</f>
        <v>78723966</v>
      </c>
      <c r="J23" s="40">
        <f>Spending!U98</f>
        <v>127634922</v>
      </c>
      <c r="K23" s="40">
        <f>Spending!U99</f>
        <v>137485832</v>
      </c>
      <c r="L23" s="33">
        <v>146991558</v>
      </c>
      <c r="M23" s="33">
        <v>149291991</v>
      </c>
      <c r="N23" s="33">
        <v>148181353</v>
      </c>
      <c r="O23" s="49"/>
      <c r="P23" s="33">
        <v>151782735</v>
      </c>
      <c r="Q23" s="33">
        <v>145064231.82999998</v>
      </c>
      <c r="R23" s="33">
        <v>144927476.44</v>
      </c>
      <c r="S23" s="33">
        <v>146261262.81999999</v>
      </c>
      <c r="T23" s="33">
        <v>144418541.87</v>
      </c>
      <c r="U23" s="33">
        <v>142982869.61000001</v>
      </c>
      <c r="V23" s="33">
        <v>143700215.42000002</v>
      </c>
      <c r="W23" s="33">
        <v>141021122</v>
      </c>
      <c r="X23" s="33">
        <v>140396175.79000002</v>
      </c>
      <c r="Z23" s="33">
        <v>141664477</v>
      </c>
      <c r="AB23" s="33">
        <v>146875966</v>
      </c>
      <c r="AD23" s="2"/>
    </row>
    <row r="24" spans="1:30" x14ac:dyDescent="0.25">
      <c r="A24" t="s">
        <v>166</v>
      </c>
      <c r="C24" s="2"/>
      <c r="D24" s="2"/>
      <c r="E24" s="29">
        <f t="shared" ref="E24:L24" si="0">SUM(E5:E23)</f>
        <v>1657228915</v>
      </c>
      <c r="F24" s="29"/>
      <c r="G24" s="29">
        <f t="shared" si="0"/>
        <v>1812244528</v>
      </c>
      <c r="H24" s="29">
        <f t="shared" si="0"/>
        <v>1961786048</v>
      </c>
      <c r="I24" s="29">
        <f t="shared" si="0"/>
        <v>2143731464</v>
      </c>
      <c r="J24" s="29">
        <f t="shared" si="0"/>
        <v>2308250839</v>
      </c>
      <c r="K24" s="29">
        <f t="shared" si="0"/>
        <v>2417434032</v>
      </c>
      <c r="L24" s="29">
        <f t="shared" si="0"/>
        <v>2583982711</v>
      </c>
      <c r="M24" s="29">
        <f>SUM(M5:M23)</f>
        <v>2703006804</v>
      </c>
      <c r="N24" s="29">
        <f>SUM(N5:N23)</f>
        <v>2802198997</v>
      </c>
      <c r="O24" s="49"/>
      <c r="P24" s="29">
        <f>SUM(P5:P23)</f>
        <v>2844790274</v>
      </c>
      <c r="Q24" s="29">
        <f t="shared" ref="Q24:W24" si="1">SUM(Q5:Q23)</f>
        <v>2939601342.8299999</v>
      </c>
      <c r="R24" s="29">
        <f t="shared" si="1"/>
        <v>3079455656.4400001</v>
      </c>
      <c r="S24" s="29">
        <f t="shared" si="1"/>
        <v>3066654394.8200002</v>
      </c>
      <c r="T24" s="29">
        <f t="shared" si="1"/>
        <v>2987475062.8699999</v>
      </c>
      <c r="U24" s="29">
        <f t="shared" si="1"/>
        <v>3057566437.6100001</v>
      </c>
      <c r="V24" s="29">
        <f t="shared" si="1"/>
        <v>3140655131.4200001</v>
      </c>
      <c r="W24" s="29">
        <f t="shared" si="1"/>
        <v>3219926096</v>
      </c>
      <c r="X24" s="31">
        <f>SUM(X5:X23)</f>
        <v>3277447384.79</v>
      </c>
      <c r="Z24" s="31">
        <f>SUM(Z5:Z23)</f>
        <v>3387516315</v>
      </c>
      <c r="AB24" s="31">
        <f>SUM(AB5:AB23)</f>
        <v>3505777197</v>
      </c>
    </row>
    <row r="25" spans="1:30" x14ac:dyDescent="0.25">
      <c r="I25" s="31"/>
      <c r="K25"/>
      <c r="L25" s="2"/>
      <c r="N25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30" x14ac:dyDescent="0.25">
      <c r="A26" s="60" t="s">
        <v>172</v>
      </c>
      <c r="E26" s="35" t="s">
        <v>121</v>
      </c>
      <c r="F26" s="35"/>
      <c r="G26" s="35" t="s">
        <v>125</v>
      </c>
      <c r="H26" s="35" t="s">
        <v>161</v>
      </c>
      <c r="I26" s="35" t="s">
        <v>165</v>
      </c>
      <c r="J26" s="36" t="s">
        <v>175</v>
      </c>
      <c r="K26" s="36" t="s">
        <v>176</v>
      </c>
      <c r="L26" s="35" t="s">
        <v>186</v>
      </c>
      <c r="M26" s="36" t="s">
        <v>187</v>
      </c>
      <c r="N26" s="209" t="s">
        <v>188</v>
      </c>
      <c r="O26" s="209"/>
      <c r="P26" s="203" t="s">
        <v>248</v>
      </c>
      <c r="Q26" s="203" t="s">
        <v>249</v>
      </c>
      <c r="R26" s="203" t="s">
        <v>250</v>
      </c>
      <c r="S26" s="203" t="s">
        <v>251</v>
      </c>
      <c r="T26" s="203" t="s">
        <v>252</v>
      </c>
      <c r="U26" s="203" t="s">
        <v>253</v>
      </c>
      <c r="V26" s="203" t="s">
        <v>254</v>
      </c>
      <c r="W26" s="203" t="s">
        <v>255</v>
      </c>
      <c r="X26" s="209" t="s">
        <v>256</v>
      </c>
      <c r="Y26" s="209"/>
      <c r="Z26" s="208" t="s">
        <v>257</v>
      </c>
      <c r="AA26" s="209"/>
      <c r="AB26" s="208" t="s">
        <v>264</v>
      </c>
      <c r="AC26" s="209"/>
    </row>
    <row r="27" spans="1:30" x14ac:dyDescent="0.25">
      <c r="A27" s="52" t="s">
        <v>134</v>
      </c>
      <c r="E27" s="43"/>
      <c r="F27" s="43"/>
      <c r="G27" s="43"/>
      <c r="H27" s="43"/>
      <c r="I27" s="53"/>
      <c r="J27" s="53"/>
      <c r="K27" s="54" t="s">
        <v>177</v>
      </c>
      <c r="L27" s="53"/>
      <c r="M27" s="53"/>
      <c r="N27" s="54" t="s">
        <v>177</v>
      </c>
      <c r="O27" s="141" t="s">
        <v>227</v>
      </c>
      <c r="P27" s="141"/>
      <c r="Q27" s="141"/>
      <c r="R27" s="141"/>
      <c r="S27" s="141"/>
      <c r="T27" s="141"/>
      <c r="U27" s="141"/>
      <c r="V27" s="141"/>
      <c r="W27" s="141"/>
      <c r="X27" s="143" t="s">
        <v>177</v>
      </c>
      <c r="Y27" s="141" t="s">
        <v>227</v>
      </c>
      <c r="Z27" s="143" t="s">
        <v>177</v>
      </c>
      <c r="AA27" s="141" t="s">
        <v>227</v>
      </c>
      <c r="AB27" s="143" t="s">
        <v>177</v>
      </c>
      <c r="AC27" s="141" t="s">
        <v>227</v>
      </c>
    </row>
    <row r="28" spans="1:30" x14ac:dyDescent="0.25">
      <c r="A28" s="56" t="s">
        <v>167</v>
      </c>
      <c r="B28" s="56"/>
      <c r="C28" s="56"/>
      <c r="D28" s="56"/>
      <c r="E28" s="57">
        <f t="shared" ref="E28:K28" si="2">E5+E7+E8</f>
        <v>704863059</v>
      </c>
      <c r="F28" s="57"/>
      <c r="G28" s="57">
        <f t="shared" si="2"/>
        <v>741957841</v>
      </c>
      <c r="H28" s="57">
        <f t="shared" si="2"/>
        <v>792431003</v>
      </c>
      <c r="I28" s="57">
        <f t="shared" si="2"/>
        <v>848958643</v>
      </c>
      <c r="J28" s="57">
        <f t="shared" si="2"/>
        <v>896728781</v>
      </c>
      <c r="K28" s="57">
        <f t="shared" si="2"/>
        <v>944920571</v>
      </c>
      <c r="L28" s="57">
        <f>L5+L7+L8</f>
        <v>989403093</v>
      </c>
      <c r="M28" s="57">
        <f>M5+M7+M8</f>
        <v>1034743399</v>
      </c>
      <c r="N28" s="57">
        <f>N5+N7+N8</f>
        <v>1090636876</v>
      </c>
      <c r="O28" s="144">
        <f>N28/N$40</f>
        <v>0.45110025293989603</v>
      </c>
      <c r="P28" s="57">
        <f>P5+P7+P8</f>
        <v>1118172223</v>
      </c>
      <c r="Q28" s="57">
        <f t="shared" ref="Q28:W28" si="3">Q5+Q7+Q8</f>
        <v>1152323049</v>
      </c>
      <c r="R28" s="57">
        <f t="shared" si="3"/>
        <v>1183240879</v>
      </c>
      <c r="S28" s="57">
        <f t="shared" si="3"/>
        <v>1200228200</v>
      </c>
      <c r="T28" s="57">
        <f t="shared" si="3"/>
        <v>1200095928</v>
      </c>
      <c r="U28" s="57">
        <f t="shared" si="3"/>
        <v>1221218172</v>
      </c>
      <c r="V28" s="57">
        <f t="shared" si="3"/>
        <v>1239862326</v>
      </c>
      <c r="W28" s="57">
        <f t="shared" si="3"/>
        <v>1267800062</v>
      </c>
      <c r="X28" s="57">
        <f>X5+X7+X8</f>
        <v>1287924919</v>
      </c>
      <c r="Y28" s="144">
        <f>X28/X$40</f>
        <v>0.43733296387409626</v>
      </c>
      <c r="Z28" s="57">
        <f>Z5+Z7+Z8</f>
        <v>1316902304</v>
      </c>
      <c r="AA28" s="144">
        <f>Z28/Z$40</f>
        <v>0.4345228351432246</v>
      </c>
      <c r="AB28" s="57">
        <f>AB5+AB7+AB8</f>
        <v>1340972678</v>
      </c>
      <c r="AC28" s="144">
        <f t="shared" ref="AC28:AC34" si="4">AB28/AB$40</f>
        <v>0.43190455885348988</v>
      </c>
    </row>
    <row r="29" spans="1:30" x14ac:dyDescent="0.25">
      <c r="A29" s="56" t="s">
        <v>132</v>
      </c>
      <c r="B29" s="56"/>
      <c r="C29" s="56"/>
      <c r="D29" s="56"/>
      <c r="E29" s="57">
        <f t="shared" ref="E29:K29" si="5">E6</f>
        <v>230016838</v>
      </c>
      <c r="F29" s="57"/>
      <c r="G29" s="57">
        <f t="shared" si="5"/>
        <v>251043065</v>
      </c>
      <c r="H29" s="57">
        <f t="shared" si="5"/>
        <v>279080873</v>
      </c>
      <c r="I29" s="57">
        <f t="shared" si="5"/>
        <v>313920798</v>
      </c>
      <c r="J29" s="57">
        <f t="shared" si="5"/>
        <v>343675469</v>
      </c>
      <c r="K29" s="57">
        <f t="shared" si="5"/>
        <v>368625189</v>
      </c>
      <c r="L29" s="57">
        <f>L6</f>
        <v>391977486</v>
      </c>
      <c r="M29" s="57">
        <f>M6</f>
        <v>415946689</v>
      </c>
      <c r="N29" s="57">
        <f>N6</f>
        <v>448968560</v>
      </c>
      <c r="O29" s="144">
        <f t="shared" ref="O29:O34" si="6">N29/N$40</f>
        <v>0.18569868251737059</v>
      </c>
      <c r="P29" s="57">
        <f>P6</f>
        <v>473442456</v>
      </c>
      <c r="Q29" s="57">
        <f t="shared" ref="Q29:W29" si="7">Q6</f>
        <v>508089836</v>
      </c>
      <c r="R29" s="57">
        <f t="shared" si="7"/>
        <v>521652296</v>
      </c>
      <c r="S29" s="57">
        <f t="shared" si="7"/>
        <v>518250396</v>
      </c>
      <c r="T29" s="57">
        <f t="shared" si="7"/>
        <v>520481101</v>
      </c>
      <c r="U29" s="57">
        <f t="shared" si="7"/>
        <v>531603326</v>
      </c>
      <c r="V29" s="57">
        <f t="shared" si="7"/>
        <v>533232787</v>
      </c>
      <c r="W29" s="57">
        <f t="shared" si="7"/>
        <v>552956963</v>
      </c>
      <c r="X29" s="57">
        <f>X6</f>
        <v>566549771</v>
      </c>
      <c r="Y29" s="144">
        <f t="shared" ref="Y29:Y38" si="8">X29/X$40</f>
        <v>0.19237991817566541</v>
      </c>
      <c r="Z29" s="57">
        <f>Z6</f>
        <v>595636726</v>
      </c>
      <c r="AA29" s="144">
        <f t="shared" ref="AA29:AA34" si="9">Z29/Z$40</f>
        <v>0.19653527684689057</v>
      </c>
      <c r="AB29" s="57">
        <f>AB6</f>
        <v>610556847</v>
      </c>
      <c r="AC29" s="144">
        <f t="shared" si="4"/>
        <v>0.19665000636091462</v>
      </c>
    </row>
    <row r="30" spans="1:30" x14ac:dyDescent="0.25">
      <c r="A30" s="56" t="s">
        <v>168</v>
      </c>
      <c r="B30" s="56"/>
      <c r="C30" s="56"/>
      <c r="D30" s="56"/>
      <c r="E30" s="57">
        <f t="shared" ref="E30:K30" si="10">E9+E10</f>
        <v>133438471</v>
      </c>
      <c r="F30" s="57"/>
      <c r="G30" s="57">
        <f t="shared" si="10"/>
        <v>144785853</v>
      </c>
      <c r="H30" s="57">
        <f t="shared" si="10"/>
        <v>163088262</v>
      </c>
      <c r="I30" s="57">
        <f t="shared" si="10"/>
        <v>176133895</v>
      </c>
      <c r="J30" s="57">
        <f t="shared" si="10"/>
        <v>189333382</v>
      </c>
      <c r="K30" s="57">
        <f t="shared" si="10"/>
        <v>203201425</v>
      </c>
      <c r="L30" s="57">
        <f>L9+L10</f>
        <v>218231135</v>
      </c>
      <c r="M30" s="57">
        <f>M9+M10</f>
        <v>230022834</v>
      </c>
      <c r="N30" s="57">
        <f>N9+N10</f>
        <v>243913074</v>
      </c>
      <c r="O30" s="144">
        <f t="shared" si="6"/>
        <v>0.10088531920934936</v>
      </c>
      <c r="P30" s="57">
        <f>P9+P10</f>
        <v>259954459</v>
      </c>
      <c r="Q30" s="57">
        <f t="shared" ref="Q30:W30" si="11">Q9+Q10</f>
        <v>270759422</v>
      </c>
      <c r="R30" s="57">
        <f t="shared" si="11"/>
        <v>277910873</v>
      </c>
      <c r="S30" s="57">
        <f t="shared" si="11"/>
        <v>285051740</v>
      </c>
      <c r="T30" s="57">
        <f t="shared" si="11"/>
        <v>288750401</v>
      </c>
      <c r="U30" s="57">
        <f t="shared" si="11"/>
        <v>294401272</v>
      </c>
      <c r="V30" s="57">
        <f t="shared" si="11"/>
        <v>306308903</v>
      </c>
      <c r="W30" s="57">
        <f t="shared" si="11"/>
        <v>320228760</v>
      </c>
      <c r="X30" s="57">
        <f>X9+X10</f>
        <v>327883103</v>
      </c>
      <c r="Y30" s="144">
        <f t="shared" si="8"/>
        <v>0.11133730477904169</v>
      </c>
      <c r="Z30" s="57">
        <f>Z9+Z10</f>
        <v>336296419</v>
      </c>
      <c r="AA30" s="144">
        <f t="shared" si="9"/>
        <v>0.11096379206607704</v>
      </c>
      <c r="AB30" s="57">
        <f>AB9+AB10</f>
        <v>346389782</v>
      </c>
      <c r="AC30" s="144">
        <f t="shared" si="4"/>
        <v>0.11156627457108155</v>
      </c>
    </row>
    <row r="31" spans="1:30" x14ac:dyDescent="0.25">
      <c r="A31" s="56" t="s">
        <v>169</v>
      </c>
      <c r="B31" s="56"/>
      <c r="C31" s="56"/>
      <c r="D31" s="56"/>
      <c r="E31" s="57">
        <f t="shared" ref="E31:K31" si="12">E11+E12+E13</f>
        <v>136215249</v>
      </c>
      <c r="F31" s="57"/>
      <c r="G31" s="57">
        <f t="shared" si="12"/>
        <v>147654586</v>
      </c>
      <c r="H31" s="57">
        <f t="shared" si="12"/>
        <v>160735299</v>
      </c>
      <c r="I31" s="57">
        <f t="shared" si="12"/>
        <v>176805463</v>
      </c>
      <c r="J31" s="57">
        <f t="shared" si="12"/>
        <v>185929352</v>
      </c>
      <c r="K31" s="57">
        <f t="shared" si="12"/>
        <v>199512144</v>
      </c>
      <c r="L31" s="57">
        <f>L11+L12+L13</f>
        <v>210165832</v>
      </c>
      <c r="M31" s="57">
        <f>M11+M12+M13</f>
        <v>222188020</v>
      </c>
      <c r="N31" s="57">
        <f>N11+N12+N13</f>
        <v>236118091</v>
      </c>
      <c r="O31" s="144">
        <f t="shared" si="6"/>
        <v>9.7661222463364963E-2</v>
      </c>
      <c r="P31" s="57">
        <f>P11+P12+P13</f>
        <v>246599510</v>
      </c>
      <c r="Q31" s="57">
        <f t="shared" ref="Q31:W31" si="13">Q11+Q12+Q13</f>
        <v>253080200</v>
      </c>
      <c r="R31" s="57">
        <f t="shared" si="13"/>
        <v>256980755</v>
      </c>
      <c r="S31" s="57">
        <f t="shared" si="13"/>
        <v>263743611</v>
      </c>
      <c r="T31" s="57">
        <f t="shared" si="13"/>
        <v>267892881</v>
      </c>
      <c r="U31" s="57">
        <f t="shared" si="13"/>
        <v>279570448</v>
      </c>
      <c r="V31" s="57">
        <f t="shared" si="13"/>
        <v>288399604</v>
      </c>
      <c r="W31" s="57">
        <f t="shared" si="13"/>
        <v>297520523</v>
      </c>
      <c r="X31" s="57">
        <f>X11+X12+X13</f>
        <v>306987423</v>
      </c>
      <c r="Y31" s="144">
        <f t="shared" si="8"/>
        <v>0.10424188366267716</v>
      </c>
      <c r="Z31" s="57">
        <f>Z11+Z12+Z13</f>
        <v>316753692</v>
      </c>
      <c r="AA31" s="144">
        <f t="shared" si="9"/>
        <v>0.10451550724139649</v>
      </c>
      <c r="AB31" s="57">
        <f>AB11+AB12+AB13</f>
        <v>323904877</v>
      </c>
      <c r="AC31" s="144">
        <f t="shared" si="4"/>
        <v>0.10432426797824652</v>
      </c>
    </row>
    <row r="32" spans="1:30" x14ac:dyDescent="0.25">
      <c r="A32" s="56" t="s">
        <v>152</v>
      </c>
      <c r="B32" s="56"/>
      <c r="C32" s="56"/>
      <c r="D32" s="56"/>
      <c r="E32" s="57">
        <f t="shared" ref="E32:H33" si="14">E14</f>
        <v>121698931</v>
      </c>
      <c r="F32" s="57"/>
      <c r="G32" s="57">
        <f t="shared" si="14"/>
        <v>133447376</v>
      </c>
      <c r="H32" s="57">
        <f t="shared" si="14"/>
        <v>138706666</v>
      </c>
      <c r="I32" s="57">
        <f t="shared" ref="I32:K33" si="15">I14</f>
        <v>149718163</v>
      </c>
      <c r="J32" s="57">
        <f t="shared" si="15"/>
        <v>160479835</v>
      </c>
      <c r="K32" s="57">
        <f t="shared" si="15"/>
        <v>173990944</v>
      </c>
      <c r="L32" s="57">
        <f t="shared" ref="L32:N33" si="16">L14</f>
        <v>188332396</v>
      </c>
      <c r="M32" s="57">
        <f t="shared" si="16"/>
        <v>198964593</v>
      </c>
      <c r="N32" s="57">
        <f t="shared" si="16"/>
        <v>214373185</v>
      </c>
      <c r="O32" s="144">
        <f t="shared" si="6"/>
        <v>8.8667273319879128E-2</v>
      </c>
      <c r="P32" s="57">
        <f t="shared" ref="P32:W32" si="17">P14</f>
        <v>224233619</v>
      </c>
      <c r="Q32" s="57">
        <f t="shared" si="17"/>
        <v>218636212</v>
      </c>
      <c r="R32" s="57">
        <f t="shared" si="17"/>
        <v>220967729</v>
      </c>
      <c r="S32" s="57">
        <f t="shared" si="17"/>
        <v>221157807</v>
      </c>
      <c r="T32" s="57">
        <f t="shared" si="17"/>
        <v>223352642</v>
      </c>
      <c r="U32" s="57">
        <f t="shared" si="17"/>
        <v>236226375</v>
      </c>
      <c r="V32" s="57">
        <f t="shared" si="17"/>
        <v>240493989</v>
      </c>
      <c r="W32" s="57">
        <f t="shared" si="17"/>
        <v>234635606</v>
      </c>
      <c r="X32" s="57">
        <f t="shared" ref="X32:Z32" si="18">X14</f>
        <v>237987563</v>
      </c>
      <c r="Y32" s="144">
        <f t="shared" si="8"/>
        <v>8.0812013772336364E-2</v>
      </c>
      <c r="Z32" s="57">
        <f t="shared" si="18"/>
        <v>243271198</v>
      </c>
      <c r="AA32" s="144">
        <f t="shared" si="9"/>
        <v>8.0269349018960143E-2</v>
      </c>
      <c r="AB32" s="57">
        <f t="shared" ref="AB32" si="19">AB14</f>
        <v>255525038</v>
      </c>
      <c r="AC32" s="144">
        <f t="shared" si="4"/>
        <v>8.2300281447949999E-2</v>
      </c>
    </row>
    <row r="33" spans="1:29" x14ac:dyDescent="0.25">
      <c r="A33" s="56" t="s">
        <v>116</v>
      </c>
      <c r="B33" s="56"/>
      <c r="C33" s="56"/>
      <c r="D33" s="56"/>
      <c r="E33" s="57">
        <f t="shared" si="14"/>
        <v>61229392</v>
      </c>
      <c r="F33" s="57"/>
      <c r="G33" s="57">
        <f t="shared" si="14"/>
        <v>66473642</v>
      </c>
      <c r="H33" s="57">
        <f t="shared" si="14"/>
        <v>72670751</v>
      </c>
      <c r="I33" s="57">
        <f t="shared" si="15"/>
        <v>78661062</v>
      </c>
      <c r="J33" s="57">
        <f t="shared" si="15"/>
        <v>82716056</v>
      </c>
      <c r="K33" s="57">
        <f t="shared" si="15"/>
        <v>86207510</v>
      </c>
      <c r="L33" s="57">
        <f t="shared" si="16"/>
        <v>92250954</v>
      </c>
      <c r="M33" s="57">
        <f t="shared" si="16"/>
        <v>97372775</v>
      </c>
      <c r="N33" s="57">
        <f t="shared" si="16"/>
        <v>103662630</v>
      </c>
      <c r="O33" s="144">
        <f t="shared" si="6"/>
        <v>4.2876084279232507E-2</v>
      </c>
      <c r="P33" s="57">
        <f t="shared" ref="P33:W33" si="20">P15</f>
        <v>107522931</v>
      </c>
      <c r="Q33" s="57">
        <f t="shared" si="20"/>
        <v>110002544</v>
      </c>
      <c r="R33" s="57">
        <f t="shared" si="20"/>
        <v>113494761</v>
      </c>
      <c r="S33" s="57">
        <f t="shared" si="20"/>
        <v>114109938</v>
      </c>
      <c r="T33" s="57">
        <f t="shared" si="20"/>
        <v>117405007</v>
      </c>
      <c r="U33" s="57">
        <f t="shared" si="20"/>
        <v>121658915</v>
      </c>
      <c r="V33" s="57">
        <f t="shared" si="20"/>
        <v>124125366</v>
      </c>
      <c r="W33" s="57">
        <f t="shared" si="20"/>
        <v>127128052</v>
      </c>
      <c r="X33" s="57">
        <f t="shared" ref="X33:Z33" si="21">X15</f>
        <v>128816686</v>
      </c>
      <c r="Y33" s="144">
        <f t="shared" si="8"/>
        <v>4.3741511833283196E-2</v>
      </c>
      <c r="Z33" s="57">
        <f t="shared" si="21"/>
        <v>134494791</v>
      </c>
      <c r="AA33" s="144">
        <f t="shared" si="9"/>
        <v>4.4377671540101915E-2</v>
      </c>
      <c r="AB33" s="57">
        <f t="shared" ref="AB33" si="22">AB15</f>
        <v>140228168</v>
      </c>
      <c r="AC33" s="144">
        <f t="shared" si="4"/>
        <v>4.5165114869605914E-2</v>
      </c>
    </row>
    <row r="34" spans="1:29" x14ac:dyDescent="0.25">
      <c r="A34" s="56" t="s">
        <v>263</v>
      </c>
      <c r="B34" s="56"/>
      <c r="C34" s="56"/>
      <c r="D34" s="56"/>
      <c r="E34" s="57">
        <f>E18</f>
        <v>28026386</v>
      </c>
      <c r="F34" s="57"/>
      <c r="G34" s="57">
        <f t="shared" ref="G34:N34" si="23">G18</f>
        <v>33014855</v>
      </c>
      <c r="H34" s="57">
        <f t="shared" si="23"/>
        <v>34784259</v>
      </c>
      <c r="I34" s="57">
        <f t="shared" si="23"/>
        <v>39124270</v>
      </c>
      <c r="J34" s="57">
        <f t="shared" si="23"/>
        <v>43183391</v>
      </c>
      <c r="K34" s="57">
        <f t="shared" si="23"/>
        <v>48783166</v>
      </c>
      <c r="L34" s="57">
        <f t="shared" si="23"/>
        <v>49262754</v>
      </c>
      <c r="M34" s="57">
        <f t="shared" si="23"/>
        <v>52042734</v>
      </c>
      <c r="N34" s="57">
        <f t="shared" si="23"/>
        <v>48357894</v>
      </c>
      <c r="O34" s="144">
        <f t="shared" si="6"/>
        <v>2.0001394318378687E-2</v>
      </c>
      <c r="P34" s="57">
        <f t="shared" ref="P34:W34" si="24">P18</f>
        <v>45591427</v>
      </c>
      <c r="Q34" s="57">
        <f t="shared" si="24"/>
        <v>44621384</v>
      </c>
      <c r="R34" s="57">
        <f t="shared" si="24"/>
        <v>44798730</v>
      </c>
      <c r="S34" s="57">
        <f t="shared" si="24"/>
        <v>45468957</v>
      </c>
      <c r="T34" s="57">
        <f t="shared" si="24"/>
        <v>43456447</v>
      </c>
      <c r="U34" s="57">
        <f t="shared" si="24"/>
        <v>41362251</v>
      </c>
      <c r="V34" s="57">
        <f t="shared" si="24"/>
        <v>41185252</v>
      </c>
      <c r="W34" s="57">
        <f t="shared" si="24"/>
        <v>41986085</v>
      </c>
      <c r="X34" s="57">
        <f>X18</f>
        <v>45629499</v>
      </c>
      <c r="Y34" s="144">
        <f t="shared" si="8"/>
        <v>1.5494136143630365E-2</v>
      </c>
      <c r="Z34" s="57">
        <f>Z18</f>
        <v>44834680</v>
      </c>
      <c r="AA34" s="144">
        <f t="shared" si="9"/>
        <v>1.479357444144864E-2</v>
      </c>
      <c r="AB34" s="57">
        <f>AB18</f>
        <v>44059041</v>
      </c>
      <c r="AC34" s="144">
        <f t="shared" si="4"/>
        <v>1.4190669935940949E-2</v>
      </c>
    </row>
    <row r="35" spans="1:29" x14ac:dyDescent="0.25">
      <c r="A35" s="56" t="s">
        <v>262</v>
      </c>
      <c r="B35" s="56"/>
      <c r="C35" s="56"/>
      <c r="D35" s="56"/>
      <c r="E35" s="57">
        <f>E22</f>
        <v>49631540</v>
      </c>
      <c r="F35" s="57"/>
      <c r="G35" s="57">
        <f t="shared" ref="G35:N35" si="25">G22</f>
        <v>60450671</v>
      </c>
      <c r="H35" s="57">
        <f t="shared" si="25"/>
        <v>63937659</v>
      </c>
      <c r="I35" s="57">
        <f t="shared" si="25"/>
        <v>68214974</v>
      </c>
      <c r="J35" s="57">
        <f t="shared" si="25"/>
        <v>77847580</v>
      </c>
      <c r="K35" s="57">
        <f t="shared" si="25"/>
        <v>88933867</v>
      </c>
      <c r="L35" s="57">
        <f t="shared" si="25"/>
        <v>93626393</v>
      </c>
      <c r="M35" s="57">
        <f t="shared" si="25"/>
        <v>96518977</v>
      </c>
      <c r="N35" s="57">
        <f t="shared" si="25"/>
        <v>102118643</v>
      </c>
      <c r="O35" s="199"/>
      <c r="P35" s="57">
        <f t="shared" ref="P35:W35" si="26">P22</f>
        <v>103170648</v>
      </c>
      <c r="Q35" s="57">
        <f t="shared" si="26"/>
        <v>103872686</v>
      </c>
      <c r="R35" s="57">
        <f t="shared" si="26"/>
        <v>101283387</v>
      </c>
      <c r="S35" s="57">
        <f t="shared" si="26"/>
        <v>105255247</v>
      </c>
      <c r="T35" s="57">
        <f t="shared" si="26"/>
        <v>102103349</v>
      </c>
      <c r="U35" s="57">
        <f t="shared" si="26"/>
        <v>94172003</v>
      </c>
      <c r="V35" s="57">
        <f t="shared" si="26"/>
        <v>94358445</v>
      </c>
      <c r="W35" s="57">
        <f t="shared" si="26"/>
        <v>93471647</v>
      </c>
      <c r="X35" s="57">
        <f>X22</f>
        <v>87756967</v>
      </c>
      <c r="Y35" s="199"/>
      <c r="Z35" s="57">
        <f>Z22</f>
        <v>87231401</v>
      </c>
      <c r="AA35" s="199"/>
      <c r="AB35" s="57">
        <f>AB22</f>
        <v>88261184</v>
      </c>
      <c r="AC35" s="199"/>
    </row>
    <row r="36" spans="1:29" x14ac:dyDescent="0.25">
      <c r="A36" s="56" t="s">
        <v>158</v>
      </c>
      <c r="B36" s="56"/>
      <c r="C36" s="56"/>
      <c r="D36" s="56"/>
      <c r="E36" s="57">
        <f t="shared" ref="E36:K36" si="27">E21</f>
        <v>107150317</v>
      </c>
      <c r="F36" s="57"/>
      <c r="G36" s="57">
        <f t="shared" si="27"/>
        <v>142741579</v>
      </c>
      <c r="H36" s="57">
        <f t="shared" si="27"/>
        <v>160814498</v>
      </c>
      <c r="I36" s="57">
        <f t="shared" si="27"/>
        <v>188733490</v>
      </c>
      <c r="J36" s="57">
        <f t="shared" si="27"/>
        <v>173673353</v>
      </c>
      <c r="K36" s="57">
        <f t="shared" si="27"/>
        <v>138598107</v>
      </c>
      <c r="L36" s="57">
        <f>L21</f>
        <v>174616065</v>
      </c>
      <c r="M36" s="57">
        <f>M21</f>
        <v>176251409</v>
      </c>
      <c r="N36" s="57">
        <f>N21</f>
        <v>134172855</v>
      </c>
      <c r="O36" s="199"/>
      <c r="P36" s="57">
        <f>P21</f>
        <v>80835378</v>
      </c>
      <c r="Q36" s="57">
        <f t="shared" ref="Q36:W36" si="28">Q21</f>
        <v>97171268</v>
      </c>
      <c r="R36" s="57">
        <f t="shared" si="28"/>
        <v>173756309</v>
      </c>
      <c r="S36" s="57">
        <f t="shared" si="28"/>
        <v>125685550</v>
      </c>
      <c r="T36" s="57">
        <f t="shared" si="28"/>
        <v>38369451</v>
      </c>
      <c r="U36" s="57">
        <f t="shared" si="28"/>
        <v>52544557</v>
      </c>
      <c r="V36" s="57">
        <f t="shared" si="28"/>
        <v>86923711</v>
      </c>
      <c r="W36" s="57">
        <f t="shared" si="28"/>
        <v>99693705</v>
      </c>
      <c r="X36" s="57">
        <f>X21</f>
        <v>104341482</v>
      </c>
      <c r="Y36" s="199"/>
      <c r="Z36" s="57">
        <f>Z21</f>
        <v>127934366</v>
      </c>
      <c r="AA36" s="199"/>
      <c r="AB36" s="57">
        <f>AB21</f>
        <v>165850689</v>
      </c>
      <c r="AC36" s="199"/>
    </row>
    <row r="37" spans="1:29" x14ac:dyDescent="0.25">
      <c r="A37" s="56" t="s">
        <v>104</v>
      </c>
      <c r="B37" s="56"/>
      <c r="C37" s="56"/>
      <c r="D37" s="56"/>
      <c r="E37" s="57">
        <f t="shared" ref="E37:K37" si="29">E20</f>
        <v>14356223</v>
      </c>
      <c r="F37" s="57"/>
      <c r="G37" s="57">
        <f t="shared" si="29"/>
        <v>15400105</v>
      </c>
      <c r="H37" s="57">
        <f t="shared" si="29"/>
        <v>16335997</v>
      </c>
      <c r="I37" s="57">
        <f t="shared" si="29"/>
        <v>17711638</v>
      </c>
      <c r="J37" s="57">
        <f t="shared" si="29"/>
        <v>18894166</v>
      </c>
      <c r="K37" s="57">
        <f t="shared" si="29"/>
        <v>19937863</v>
      </c>
      <c r="L37" s="57">
        <f>L20</f>
        <v>20903202</v>
      </c>
      <c r="M37" s="57">
        <f>M20</f>
        <v>22281193</v>
      </c>
      <c r="N37" s="57">
        <f>N20</f>
        <v>24220636</v>
      </c>
      <c r="O37" s="144">
        <f t="shared" ref="O37:O38" si="30">N37/N$40</f>
        <v>1.0017940220430573E-2</v>
      </c>
      <c r="P37" s="57">
        <f>P20</f>
        <v>25393600</v>
      </c>
      <c r="Q37" s="57">
        <f t="shared" ref="Q37:W37" si="31">Q20</f>
        <v>27608366</v>
      </c>
      <c r="R37" s="57">
        <f t="shared" si="31"/>
        <v>31179384</v>
      </c>
      <c r="S37" s="57">
        <f t="shared" si="31"/>
        <v>32921520</v>
      </c>
      <c r="T37" s="57">
        <f t="shared" si="31"/>
        <v>33845510</v>
      </c>
      <c r="U37" s="57">
        <f t="shared" si="31"/>
        <v>34640823</v>
      </c>
      <c r="V37" s="57">
        <f t="shared" si="31"/>
        <v>34303383</v>
      </c>
      <c r="W37" s="57">
        <f t="shared" si="31"/>
        <v>34831964</v>
      </c>
      <c r="X37" s="57">
        <f>X20</f>
        <v>33860801</v>
      </c>
      <c r="Y37" s="144">
        <f t="shared" si="8"/>
        <v>1.1497909732175127E-2</v>
      </c>
      <c r="Z37" s="57">
        <f>Z20</f>
        <v>33617749</v>
      </c>
      <c r="AA37" s="144">
        <f t="shared" ref="AA37:AA38" si="32">Z37/Z$40</f>
        <v>1.1092455045635111E-2</v>
      </c>
      <c r="AB37" s="57">
        <f>AB20</f>
        <v>34467869</v>
      </c>
      <c r="AC37" s="144">
        <f t="shared" ref="AC37:AC38" si="33">AB37/AB$40</f>
        <v>1.1101516085523764E-2</v>
      </c>
    </row>
    <row r="38" spans="1:29" x14ac:dyDescent="0.25">
      <c r="A38" s="56" t="s">
        <v>170</v>
      </c>
      <c r="B38" s="56"/>
      <c r="C38" s="56"/>
      <c r="D38" s="56"/>
      <c r="E38" s="57">
        <f t="shared" ref="E38:N38" si="34">E16+E17+E19</f>
        <v>4076794</v>
      </c>
      <c r="F38" s="57"/>
      <c r="G38" s="57">
        <f t="shared" si="34"/>
        <v>4892051</v>
      </c>
      <c r="H38" s="57">
        <f t="shared" si="34"/>
        <v>6491461</v>
      </c>
      <c r="I38" s="57">
        <f t="shared" si="34"/>
        <v>7025102</v>
      </c>
      <c r="J38" s="57">
        <f t="shared" si="34"/>
        <v>8154552</v>
      </c>
      <c r="K38" s="57">
        <f t="shared" si="34"/>
        <v>7237414</v>
      </c>
      <c r="L38" s="57">
        <f t="shared" si="34"/>
        <v>8221843</v>
      </c>
      <c r="M38" s="57">
        <f t="shared" si="34"/>
        <v>7382190</v>
      </c>
      <c r="N38" s="57">
        <f t="shared" si="34"/>
        <v>7475200</v>
      </c>
      <c r="O38" s="144">
        <f t="shared" si="30"/>
        <v>3.0918307320981424E-3</v>
      </c>
      <c r="P38" s="57">
        <f t="shared" ref="P38:W38" si="35">P16+P17+P19</f>
        <v>8091288</v>
      </c>
      <c r="Q38" s="57">
        <f t="shared" si="35"/>
        <v>8372144</v>
      </c>
      <c r="R38" s="57">
        <f t="shared" si="35"/>
        <v>9263077</v>
      </c>
      <c r="S38" s="57">
        <f t="shared" si="35"/>
        <v>8520166</v>
      </c>
      <c r="T38" s="57">
        <f t="shared" si="35"/>
        <v>7303804</v>
      </c>
      <c r="U38" s="57">
        <f t="shared" si="35"/>
        <v>7185426</v>
      </c>
      <c r="V38" s="57">
        <f t="shared" si="35"/>
        <v>7761150</v>
      </c>
      <c r="W38" s="57">
        <f t="shared" si="35"/>
        <v>8651607</v>
      </c>
      <c r="X38" s="57">
        <f>X16+X17+X19</f>
        <v>9312995</v>
      </c>
      <c r="Y38" s="144">
        <f t="shared" si="8"/>
        <v>3.1623580270944652E-3</v>
      </c>
      <c r="Z38" s="57">
        <f>Z16+Z17+Z19</f>
        <v>8878512</v>
      </c>
      <c r="AA38" s="144">
        <f t="shared" si="32"/>
        <v>2.9295386562655304E-3</v>
      </c>
      <c r="AB38" s="57">
        <f>AB16+AB17+AB19</f>
        <v>8685058</v>
      </c>
      <c r="AC38" s="144">
        <f t="shared" si="33"/>
        <v>2.7973098972468198E-3</v>
      </c>
    </row>
    <row r="39" spans="1:29" x14ac:dyDescent="0.25">
      <c r="A39" s="198" t="s">
        <v>3</v>
      </c>
      <c r="E39" s="55">
        <f>SUM(E28:E38)</f>
        <v>1590703200</v>
      </c>
      <c r="F39" s="55"/>
      <c r="G39" s="55">
        <f t="shared" ref="G39:N39" si="36">SUM(G28:G38)</f>
        <v>1741861624</v>
      </c>
      <c r="H39" s="55">
        <f t="shared" si="36"/>
        <v>1889076728</v>
      </c>
      <c r="I39" s="55">
        <f t="shared" si="36"/>
        <v>2065007498</v>
      </c>
      <c r="J39" s="55">
        <f t="shared" si="36"/>
        <v>2180615917</v>
      </c>
      <c r="K39" s="55">
        <f t="shared" si="36"/>
        <v>2279948200</v>
      </c>
      <c r="L39" s="55">
        <f t="shared" si="36"/>
        <v>2436991153</v>
      </c>
      <c r="M39" s="55">
        <f t="shared" si="36"/>
        <v>2553714813</v>
      </c>
      <c r="N39" s="55">
        <f t="shared" si="36"/>
        <v>2654017644</v>
      </c>
      <c r="O39" s="173"/>
      <c r="P39" s="55">
        <f t="shared" ref="P39:W39" si="37">SUM(P28:P38)</f>
        <v>2693007539</v>
      </c>
      <c r="Q39" s="55">
        <f t="shared" si="37"/>
        <v>2794537111</v>
      </c>
      <c r="R39" s="55">
        <f t="shared" si="37"/>
        <v>2934528180</v>
      </c>
      <c r="S39" s="55">
        <f t="shared" si="37"/>
        <v>2920393132</v>
      </c>
      <c r="T39" s="55">
        <f t="shared" si="37"/>
        <v>2843056521</v>
      </c>
      <c r="U39" s="55">
        <f t="shared" si="37"/>
        <v>2914583568</v>
      </c>
      <c r="V39" s="55">
        <f t="shared" si="37"/>
        <v>2996954916</v>
      </c>
      <c r="W39" s="55">
        <f t="shared" si="37"/>
        <v>3078904974</v>
      </c>
      <c r="X39" s="55">
        <f>SUM(X28:X38)</f>
        <v>3137051209</v>
      </c>
      <c r="Y39" s="56"/>
      <c r="Z39" s="55">
        <f>SUM(Z28:Z38)</f>
        <v>3245851838</v>
      </c>
      <c r="AA39" s="56"/>
      <c r="AB39" s="55">
        <f>SUM(AB28:AB38)</f>
        <v>3358901231</v>
      </c>
      <c r="AC39" s="56"/>
    </row>
    <row r="40" spans="1:29" x14ac:dyDescent="0.25">
      <c r="A40" s="198" t="s">
        <v>272</v>
      </c>
      <c r="E40" s="55">
        <f>E39-E35-E36</f>
        <v>1433921343</v>
      </c>
      <c r="F40" s="55">
        <f t="shared" ref="F40:N40" si="38">F39-F35-F36</f>
        <v>0</v>
      </c>
      <c r="G40" s="55">
        <f t="shared" si="38"/>
        <v>1538669374</v>
      </c>
      <c r="H40" s="55">
        <f t="shared" si="38"/>
        <v>1664324571</v>
      </c>
      <c r="I40" s="55">
        <f t="shared" si="38"/>
        <v>1808059034</v>
      </c>
      <c r="J40" s="55">
        <f t="shared" si="38"/>
        <v>1929094984</v>
      </c>
      <c r="K40" s="55">
        <f t="shared" si="38"/>
        <v>2052416226</v>
      </c>
      <c r="L40" s="55">
        <f t="shared" si="38"/>
        <v>2168748695</v>
      </c>
      <c r="M40" s="55">
        <f t="shared" si="38"/>
        <v>2280944427</v>
      </c>
      <c r="N40" s="55">
        <f t="shared" si="38"/>
        <v>2417726146</v>
      </c>
      <c r="O40" s="173">
        <f>SUM(O28:O38)</f>
        <v>1</v>
      </c>
      <c r="P40" s="55">
        <f t="shared" ref="P40:W40" si="39">P39-P35-P36</f>
        <v>2509001513</v>
      </c>
      <c r="Q40" s="55">
        <f t="shared" si="39"/>
        <v>2593493157</v>
      </c>
      <c r="R40" s="55">
        <f t="shared" si="39"/>
        <v>2659488484</v>
      </c>
      <c r="S40" s="55">
        <f t="shared" si="39"/>
        <v>2689452335</v>
      </c>
      <c r="T40" s="55">
        <f t="shared" si="39"/>
        <v>2702583721</v>
      </c>
      <c r="U40" s="55">
        <f t="shared" si="39"/>
        <v>2767867008</v>
      </c>
      <c r="V40" s="55">
        <f t="shared" si="39"/>
        <v>2815672760</v>
      </c>
      <c r="W40" s="55">
        <f t="shared" si="39"/>
        <v>2885739622</v>
      </c>
      <c r="X40" s="55">
        <f>X39-X35-X36</f>
        <v>2944952760</v>
      </c>
      <c r="Y40" s="173">
        <f>SUM(Y28:Y38)</f>
        <v>1.0000000000000002</v>
      </c>
      <c r="Z40" s="55">
        <f>Z39-Z35-Z36</f>
        <v>3030686071</v>
      </c>
      <c r="AA40" s="173">
        <f>SUM(AA28:AA38)</f>
        <v>1</v>
      </c>
      <c r="AB40" s="55">
        <f>AB39-AB35-AB36</f>
        <v>3104789358</v>
      </c>
      <c r="AC40" s="173">
        <f>SUM(AC28:AC38)</f>
        <v>1.0000000000000002</v>
      </c>
    </row>
    <row r="41" spans="1:29" x14ac:dyDescent="0.25">
      <c r="A41" s="59" t="s">
        <v>181</v>
      </c>
      <c r="G41" s="58">
        <f>(G39-E39)/E39</f>
        <v>9.5026164528995732E-2</v>
      </c>
      <c r="H41" s="58">
        <f t="shared" ref="H41:N41" si="40">(H39-G39)/G39</f>
        <v>8.4515958082787404E-2</v>
      </c>
      <c r="I41" s="58">
        <f t="shared" si="40"/>
        <v>9.3130558114630488E-2</v>
      </c>
      <c r="J41" s="58">
        <f t="shared" si="40"/>
        <v>5.5984503258205601E-2</v>
      </c>
      <c r="K41" s="58">
        <f t="shared" si="40"/>
        <v>4.5552397478899997E-2</v>
      </c>
      <c r="L41" s="58">
        <f>(L39-K39)/K39</f>
        <v>6.8880053064363483E-2</v>
      </c>
      <c r="M41" s="58">
        <f t="shared" si="40"/>
        <v>4.7896628535688407E-2</v>
      </c>
      <c r="N41" s="58">
        <f t="shared" si="40"/>
        <v>3.9277224884077137E-2</v>
      </c>
      <c r="X41" s="58"/>
      <c r="Z41" s="58">
        <f>(Z39-X39)/X39</f>
        <v>3.4682452325884232E-2</v>
      </c>
    </row>
    <row r="42" spans="1:29" x14ac:dyDescent="0.25">
      <c r="A42" s="37"/>
    </row>
    <row r="43" spans="1:29" x14ac:dyDescent="0.25">
      <c r="A43" s="37" t="s">
        <v>122</v>
      </c>
      <c r="B43" s="35" t="s">
        <v>90</v>
      </c>
      <c r="C43" s="35" t="s">
        <v>120</v>
      </c>
      <c r="D43" s="35"/>
      <c r="E43" s="35" t="s">
        <v>121</v>
      </c>
      <c r="F43" s="35"/>
      <c r="G43" s="35" t="s">
        <v>125</v>
      </c>
      <c r="H43" s="35" t="s">
        <v>161</v>
      </c>
      <c r="I43" s="35" t="s">
        <v>165</v>
      </c>
      <c r="J43" s="46" t="s">
        <v>175</v>
      </c>
      <c r="K43" s="46" t="s">
        <v>176</v>
      </c>
      <c r="L43" s="35" t="s">
        <v>186</v>
      </c>
      <c r="M43" s="36" t="s">
        <v>187</v>
      </c>
      <c r="N43" s="209" t="s">
        <v>188</v>
      </c>
      <c r="O43" s="209"/>
      <c r="P43" s="203" t="s">
        <v>248</v>
      </c>
      <c r="Q43" s="203" t="s">
        <v>249</v>
      </c>
      <c r="R43" s="203" t="s">
        <v>250</v>
      </c>
      <c r="S43" s="203" t="s">
        <v>251</v>
      </c>
      <c r="T43" s="203" t="s">
        <v>252</v>
      </c>
      <c r="U43" s="203" t="s">
        <v>253</v>
      </c>
      <c r="V43" s="203" t="s">
        <v>254</v>
      </c>
      <c r="W43" s="203" t="s">
        <v>255</v>
      </c>
      <c r="X43" s="209" t="s">
        <v>256</v>
      </c>
      <c r="Y43" s="209"/>
      <c r="Z43" s="208" t="s">
        <v>257</v>
      </c>
      <c r="AA43" s="209"/>
      <c r="AB43" s="208" t="s">
        <v>264</v>
      </c>
      <c r="AC43" s="209"/>
    </row>
    <row r="44" spans="1:29" x14ac:dyDescent="0.25">
      <c r="A44" s="44" t="s">
        <v>135</v>
      </c>
      <c r="B44" s="43"/>
      <c r="C44" s="145" t="s">
        <v>177</v>
      </c>
      <c r="D44" s="145" t="s">
        <v>227</v>
      </c>
      <c r="E44" s="43" t="s">
        <v>177</v>
      </c>
      <c r="F44" s="43" t="s">
        <v>227</v>
      </c>
      <c r="G44" s="43"/>
      <c r="H44" s="43"/>
      <c r="I44" s="43"/>
      <c r="J44" s="43"/>
      <c r="K44" s="63" t="s">
        <v>177</v>
      </c>
      <c r="L44" s="43"/>
      <c r="M44" s="43"/>
      <c r="N44" s="63" t="s">
        <v>177</v>
      </c>
      <c r="O44" s="141" t="s">
        <v>227</v>
      </c>
      <c r="P44" s="141"/>
      <c r="Q44" s="141"/>
      <c r="R44" s="141"/>
      <c r="S44" s="141"/>
      <c r="T44" s="141"/>
      <c r="U44" s="141"/>
      <c r="V44" s="141"/>
      <c r="W44" s="141"/>
      <c r="X44" s="142" t="s">
        <v>177</v>
      </c>
      <c r="Y44" s="141" t="s">
        <v>227</v>
      </c>
      <c r="Z44" s="142" t="s">
        <v>177</v>
      </c>
      <c r="AA44" s="141" t="s">
        <v>227</v>
      </c>
      <c r="AB44" s="142" t="s">
        <v>177</v>
      </c>
      <c r="AC44" s="141" t="s">
        <v>227</v>
      </c>
    </row>
    <row r="45" spans="1:29" x14ac:dyDescent="0.25">
      <c r="A45" s="56" t="s">
        <v>173</v>
      </c>
      <c r="B45" s="64">
        <f>Revenue!B85</f>
        <v>1130514694</v>
      </c>
      <c r="C45" s="64">
        <f>Revenue!B86</f>
        <v>1195958846</v>
      </c>
      <c r="D45" s="194">
        <f>C45/C$53</f>
        <v>0.79914050817215943</v>
      </c>
      <c r="E45" s="64">
        <f>Revenue!B90</f>
        <v>554561140</v>
      </c>
      <c r="F45" s="194">
        <f>E45/E$53</f>
        <v>0.34947478328878873</v>
      </c>
      <c r="G45" s="64">
        <f>Revenue!B91</f>
        <v>675578576</v>
      </c>
      <c r="H45" s="64">
        <f>Revenue!B92</f>
        <v>727822386</v>
      </c>
      <c r="I45" s="57">
        <f>Revenue!B93</f>
        <v>830495355</v>
      </c>
      <c r="J45" s="57">
        <f>Revenue!B94</f>
        <v>953787447</v>
      </c>
      <c r="K45" s="57">
        <f>Revenue!B95</f>
        <v>1156083160</v>
      </c>
      <c r="L45" s="57">
        <f>Revenue!B96</f>
        <v>1215996909</v>
      </c>
      <c r="M45" s="57">
        <f>Revenue!B97</f>
        <v>1330587674</v>
      </c>
      <c r="N45" s="138">
        <f>Revenue!B98</f>
        <v>1376945977</v>
      </c>
      <c r="O45" s="194">
        <f>N45/N$54</f>
        <v>0.54067852185114862</v>
      </c>
      <c r="P45" s="138">
        <f>Revenue!B99</f>
        <v>1483895656</v>
      </c>
      <c r="Q45" s="138">
        <f>Revenue!B100</f>
        <v>1482598796</v>
      </c>
      <c r="R45" s="138">
        <f>Revenue!B101</f>
        <v>1521270974</v>
      </c>
      <c r="S45" s="138">
        <f>Revenue!B102</f>
        <v>1571663639</v>
      </c>
      <c r="T45" s="138">
        <f>Revenue!B103</f>
        <v>1616304139</v>
      </c>
      <c r="U45" s="138">
        <f>Revenue!B104</f>
        <v>1691446612</v>
      </c>
      <c r="V45" s="138">
        <f>Revenue!B105</f>
        <v>1739968970</v>
      </c>
      <c r="W45" s="138">
        <f>Revenue!B106</f>
        <v>1789047812</v>
      </c>
      <c r="X45" s="64">
        <f>Revenue!B107</f>
        <v>1859885529</v>
      </c>
      <c r="Y45" s="194">
        <f>X45/X$54</f>
        <v>0.60066555262228571</v>
      </c>
      <c r="Z45" s="18">
        <f>Revenue!B108</f>
        <v>1947380582</v>
      </c>
      <c r="AA45" s="194">
        <f>Z45/Z$54</f>
        <v>0.61507011278572954</v>
      </c>
      <c r="AB45" s="18">
        <f>Revenue!B109</f>
        <v>2012730122</v>
      </c>
      <c r="AC45" s="194">
        <f>AB45/AB$54</f>
        <v>0.62131206345643852</v>
      </c>
    </row>
    <row r="46" spans="1:29" x14ac:dyDescent="0.25">
      <c r="A46" s="56" t="s">
        <v>178</v>
      </c>
      <c r="B46" s="56"/>
      <c r="C46" s="56"/>
      <c r="D46" s="194"/>
      <c r="E46" s="64">
        <f t="shared" ref="E46:K46" si="41">E56-E58</f>
        <v>417876569</v>
      </c>
      <c r="F46" s="194">
        <f t="shared" ref="F46:F52" si="42">E46/E$53</f>
        <v>0.26333854440781329</v>
      </c>
      <c r="G46" s="64">
        <f t="shared" si="41"/>
        <v>417575860</v>
      </c>
      <c r="H46" s="64">
        <f t="shared" si="41"/>
        <v>454134768</v>
      </c>
      <c r="I46" s="64">
        <f t="shared" si="41"/>
        <v>452996781.56379998</v>
      </c>
      <c r="J46" s="64">
        <f t="shared" si="41"/>
        <v>473345275</v>
      </c>
      <c r="K46" s="64">
        <f t="shared" si="41"/>
        <v>371302036</v>
      </c>
      <c r="L46" s="64">
        <f>L56-L58</f>
        <v>363392367</v>
      </c>
      <c r="M46" s="64">
        <f>M56-M58</f>
        <v>363335002</v>
      </c>
      <c r="N46" s="139">
        <f>N57</f>
        <v>363065989</v>
      </c>
      <c r="O46" s="194">
        <f t="shared" ref="O46:Y50" si="43">N46/N$54</f>
        <v>0.14256331442620235</v>
      </c>
      <c r="P46" s="139">
        <f>P57</f>
        <v>363653009</v>
      </c>
      <c r="Q46" s="139">
        <f>Q57</f>
        <v>363132443</v>
      </c>
      <c r="R46" s="139">
        <f t="shared" ref="R46:W46" si="44">R57</f>
        <v>363562542</v>
      </c>
      <c r="S46" s="139">
        <f t="shared" si="44"/>
        <v>363086707</v>
      </c>
      <c r="T46" s="139">
        <f t="shared" si="44"/>
        <v>363639896</v>
      </c>
      <c r="U46" s="139">
        <f t="shared" si="44"/>
        <v>363563724</v>
      </c>
      <c r="V46" s="139">
        <f t="shared" si="44"/>
        <v>363318165</v>
      </c>
      <c r="W46" s="139">
        <f t="shared" si="44"/>
        <v>363109425</v>
      </c>
      <c r="X46" s="64">
        <f>X57</f>
        <v>363398238</v>
      </c>
      <c r="Y46" s="194">
        <f t="shared" si="43"/>
        <v>0.11736249357647155</v>
      </c>
      <c r="Z46" s="64">
        <f>Z57</f>
        <v>363398238</v>
      </c>
      <c r="AA46" s="194">
        <f t="shared" ref="AA46" si="45">Z46/Z$54</f>
        <v>0.11477745916683656</v>
      </c>
      <c r="AB46" s="64">
        <f>AB57</f>
        <v>363398238</v>
      </c>
      <c r="AC46" s="194">
        <f t="shared" ref="AC46" si="46">AB46/AB$54</f>
        <v>0.11217783578647807</v>
      </c>
    </row>
    <row r="47" spans="1:29" x14ac:dyDescent="0.25">
      <c r="A47" s="56" t="s">
        <v>180</v>
      </c>
      <c r="B47" s="64">
        <f>B56</f>
        <v>70626683</v>
      </c>
      <c r="C47" s="64">
        <f>C56</f>
        <v>68804546</v>
      </c>
      <c r="D47" s="194">
        <f t="shared" ref="D47:D52" si="47">C47/C$53</f>
        <v>4.5975244080426088E-2</v>
      </c>
      <c r="E47" s="64">
        <f t="shared" ref="E47:K47" si="48">E58</f>
        <v>406822379</v>
      </c>
      <c r="F47" s="194">
        <f t="shared" si="42"/>
        <v>0.25637238616837538</v>
      </c>
      <c r="G47" s="64">
        <f t="shared" si="48"/>
        <v>406437649</v>
      </c>
      <c r="H47" s="64">
        <f t="shared" si="48"/>
        <v>425833291</v>
      </c>
      <c r="I47" s="64">
        <f t="shared" si="48"/>
        <v>443160939.43620002</v>
      </c>
      <c r="J47" s="64">
        <f t="shared" si="48"/>
        <v>421126234</v>
      </c>
      <c r="K47" s="64">
        <f t="shared" si="48"/>
        <v>431626064</v>
      </c>
      <c r="L47" s="64">
        <f>L58</f>
        <v>471523216</v>
      </c>
      <c r="M47" s="64">
        <f>M58</f>
        <v>471982197</v>
      </c>
      <c r="N47" s="139">
        <f>N58</f>
        <v>526579116</v>
      </c>
      <c r="O47" s="194">
        <f t="shared" si="43"/>
        <v>0.20676919997752716</v>
      </c>
      <c r="P47" s="139">
        <f>P58</f>
        <v>526521076</v>
      </c>
      <c r="Q47" s="139">
        <f>Q58</f>
        <v>576718885</v>
      </c>
      <c r="R47" s="139">
        <f t="shared" ref="R47:W47" si="49">R58</f>
        <v>577269923</v>
      </c>
      <c r="S47" s="139">
        <f t="shared" si="49"/>
        <v>577071526</v>
      </c>
      <c r="T47" s="139">
        <f t="shared" si="49"/>
        <v>577298892</v>
      </c>
      <c r="U47" s="139">
        <f t="shared" si="49"/>
        <v>565482161</v>
      </c>
      <c r="V47" s="139">
        <f t="shared" si="49"/>
        <v>561012111</v>
      </c>
      <c r="W47" s="139">
        <f t="shared" si="49"/>
        <v>569259030</v>
      </c>
      <c r="X47" s="64">
        <f>X58</f>
        <v>563092784</v>
      </c>
      <c r="Y47" s="194">
        <f t="shared" si="43"/>
        <v>0.18185551368897249</v>
      </c>
      <c r="Z47" s="64">
        <f>Z58</f>
        <v>560609535</v>
      </c>
      <c r="AA47" s="194">
        <f t="shared" ref="AA47" si="50">Z47/Z$54</f>
        <v>0.17706563016412238</v>
      </c>
      <c r="AB47" s="64">
        <f>AB58</f>
        <v>551452784</v>
      </c>
      <c r="AC47" s="194">
        <f t="shared" ref="AC47" si="51">AB47/AB$54</f>
        <v>0.1702286180252425</v>
      </c>
    </row>
    <row r="48" spans="1:29" x14ac:dyDescent="0.25">
      <c r="A48" s="56" t="s">
        <v>92</v>
      </c>
      <c r="B48" s="64">
        <f>Revenue!H85</f>
        <v>56980813</v>
      </c>
      <c r="C48" s="64">
        <f>Revenue!H86</f>
        <v>58897415</v>
      </c>
      <c r="D48" s="194">
        <f t="shared" si="47"/>
        <v>3.9355292458889982E-2</v>
      </c>
      <c r="E48" s="64">
        <f>Revenue!H90</f>
        <v>45297902</v>
      </c>
      <c r="F48" s="194">
        <f t="shared" si="42"/>
        <v>2.8545949838617954E-2</v>
      </c>
      <c r="G48" s="64">
        <f>Revenue!H91</f>
        <v>53845952</v>
      </c>
      <c r="H48" s="64">
        <f>Revenue!H92</f>
        <v>57159671</v>
      </c>
      <c r="I48" s="57">
        <f>Revenue!H93</f>
        <v>54456970</v>
      </c>
      <c r="J48" s="57">
        <f>Revenue!H94</f>
        <v>66956265</v>
      </c>
      <c r="K48" s="57">
        <f>Revenue!H95</f>
        <v>68197536</v>
      </c>
      <c r="L48" s="57">
        <f>Revenue!H96</f>
        <v>79507560</v>
      </c>
      <c r="M48" s="57">
        <f>Revenue!H97</f>
        <v>89732904</v>
      </c>
      <c r="N48" s="138">
        <f>Revenue!H98</f>
        <v>96997662</v>
      </c>
      <c r="O48" s="194">
        <f t="shared" si="43"/>
        <v>3.8087589047930616E-2</v>
      </c>
      <c r="P48" s="138">
        <f>Revenue!H99</f>
        <v>89967360</v>
      </c>
      <c r="Q48" s="138">
        <f>Revenue!H100</f>
        <v>93751329</v>
      </c>
      <c r="R48" s="138">
        <f>Revenue!H101</f>
        <v>96568770</v>
      </c>
      <c r="S48" s="138">
        <f>Revenue!H102</f>
        <v>89921344</v>
      </c>
      <c r="T48" s="138">
        <f>Revenue!H103</f>
        <v>79300016</v>
      </c>
      <c r="U48" s="138">
        <f>Revenue!H104</f>
        <v>76057438</v>
      </c>
      <c r="V48" s="138">
        <f>Revenue!H105</f>
        <v>76043832</v>
      </c>
      <c r="W48" s="138">
        <f>Revenue!H106</f>
        <v>72779290</v>
      </c>
      <c r="X48" s="64">
        <f>Revenue!H107</f>
        <v>80818756</v>
      </c>
      <c r="Y48" s="194">
        <f t="shared" si="43"/>
        <v>2.6101091695189843E-2</v>
      </c>
      <c r="Z48" s="18">
        <f>Revenue!H108</f>
        <v>76771701</v>
      </c>
      <c r="AA48" s="194">
        <f t="shared" ref="AA48" si="52">Z48/Z$54</f>
        <v>2.4247945794101746E-2</v>
      </c>
      <c r="AB48" s="18">
        <f>Revenue!H109</f>
        <v>94309413</v>
      </c>
      <c r="AC48" s="194">
        <f t="shared" ref="AC48" si="53">AB48/AB$54</f>
        <v>2.9112485252702682E-2</v>
      </c>
    </row>
    <row r="49" spans="1:29" x14ac:dyDescent="0.25">
      <c r="A49" s="56" t="s">
        <v>119</v>
      </c>
      <c r="B49" s="64">
        <f>Revenue!I85</f>
        <v>51940421</v>
      </c>
      <c r="C49" s="64">
        <f>Revenue!I86</f>
        <v>58224175</v>
      </c>
      <c r="D49" s="194">
        <f t="shared" si="47"/>
        <v>3.8905433036451442E-2</v>
      </c>
      <c r="E49" s="64">
        <f>Revenue!I90</f>
        <v>70510329</v>
      </c>
      <c r="F49" s="194">
        <f t="shared" si="42"/>
        <v>4.4434382738927927E-2</v>
      </c>
      <c r="G49" s="64">
        <f>Revenue!I91</f>
        <v>77364803</v>
      </c>
      <c r="H49" s="64">
        <f>Revenue!I92</f>
        <v>85931199</v>
      </c>
      <c r="I49" s="57">
        <f>Revenue!I93</f>
        <v>101903517</v>
      </c>
      <c r="J49" s="57">
        <f>Revenue!I94</f>
        <v>120502289</v>
      </c>
      <c r="K49" s="57">
        <f>Revenue!I95</f>
        <v>126742545</v>
      </c>
      <c r="L49" s="57">
        <f>Revenue!I96</f>
        <v>130584760</v>
      </c>
      <c r="M49" s="57">
        <f>Revenue!I97</f>
        <v>137549092</v>
      </c>
      <c r="N49" s="138">
        <f>Revenue!I98</f>
        <v>136515834</v>
      </c>
      <c r="O49" s="194">
        <f t="shared" si="43"/>
        <v>5.3604992911349909E-2</v>
      </c>
      <c r="P49" s="138">
        <f>Revenue!I99</f>
        <v>147318280</v>
      </c>
      <c r="Q49" s="138">
        <f>Revenue!I100</f>
        <v>191213006</v>
      </c>
      <c r="R49" s="138">
        <f>Revenue!I101</f>
        <v>185345696</v>
      </c>
      <c r="S49" s="138">
        <f>Revenue!I102</f>
        <v>188426230</v>
      </c>
      <c r="T49" s="138">
        <f>Revenue!I103</f>
        <v>164398409</v>
      </c>
      <c r="U49" s="138">
        <f>Revenue!I104</f>
        <v>162111343</v>
      </c>
      <c r="V49" s="138">
        <f>Revenue!I105</f>
        <v>166235009</v>
      </c>
      <c r="W49" s="138">
        <f>Revenue!I106</f>
        <v>173966151</v>
      </c>
      <c r="X49" s="64">
        <f>Revenue!I107</f>
        <v>173816060</v>
      </c>
      <c r="Y49" s="194">
        <f t="shared" si="43"/>
        <v>5.6135347098841999E-2</v>
      </c>
      <c r="Z49" s="18">
        <f>Revenue!I108</f>
        <v>169194955</v>
      </c>
      <c r="AA49" s="194">
        <f t="shared" ref="AA49" si="54">Z49/Z$54</f>
        <v>5.343935387696417E-2</v>
      </c>
      <c r="AB49" s="18">
        <f>Revenue!I109</f>
        <v>165688054</v>
      </c>
      <c r="AC49" s="194">
        <f t="shared" ref="AC49" si="55">AB49/AB$54</f>
        <v>5.1146443129955713E-2</v>
      </c>
    </row>
    <row r="50" spans="1:29" x14ac:dyDescent="0.25">
      <c r="A50" s="56" t="s">
        <v>171</v>
      </c>
      <c r="B50" s="64">
        <f>Revenue!C85+Revenue!D85+Revenue!E85</f>
        <v>109813092</v>
      </c>
      <c r="C50" s="64">
        <f>Revenue!C86+Revenue!D86+Revenue!E86</f>
        <v>114620612</v>
      </c>
      <c r="D50" s="194">
        <f t="shared" si="47"/>
        <v>7.6589570307575544E-2</v>
      </c>
      <c r="E50" s="64">
        <f>Revenue!C90</f>
        <v>91769127</v>
      </c>
      <c r="F50" s="194">
        <f t="shared" si="42"/>
        <v>5.7831307420722504E-2</v>
      </c>
      <c r="G50" s="64">
        <f>Revenue!C91</f>
        <v>101408549</v>
      </c>
      <c r="H50" s="64">
        <f>Revenue!C92</f>
        <v>93133672</v>
      </c>
      <c r="I50" s="57">
        <f>Revenue!C93</f>
        <v>28489934</v>
      </c>
      <c r="J50" s="57">
        <f>Revenue!C94</f>
        <v>39188515</v>
      </c>
      <c r="K50" s="57">
        <f>Revenue!C95</f>
        <v>38243560</v>
      </c>
      <c r="L50" s="57">
        <f>Revenue!C96</f>
        <v>50318775</v>
      </c>
      <c r="M50" s="57">
        <f>Revenue!C97</f>
        <v>52773108</v>
      </c>
      <c r="N50" s="138">
        <f>Revenue!C98</f>
        <v>46236081</v>
      </c>
      <c r="O50" s="194">
        <f t="shared" si="43"/>
        <v>1.8155291746257071E-2</v>
      </c>
      <c r="P50" s="138">
        <v>38269022</v>
      </c>
      <c r="Q50" s="138">
        <f>Revenue!C100</f>
        <v>31505531</v>
      </c>
      <c r="R50" s="138">
        <f>Revenue!C101</f>
        <v>39534257</v>
      </c>
      <c r="S50" s="138">
        <f>Revenue!C102</f>
        <v>33967825</v>
      </c>
      <c r="T50" s="138">
        <f>Revenue!C103</f>
        <v>37171834</v>
      </c>
      <c r="U50" s="138">
        <f>Revenue!C104</f>
        <v>65832343</v>
      </c>
      <c r="V50" s="138">
        <f>Revenue!C105</f>
        <v>53410793</v>
      </c>
      <c r="W50" s="138">
        <f>Revenue!C106</f>
        <v>52188498</v>
      </c>
      <c r="X50" s="64">
        <f>Revenue!C107</f>
        <v>55285537</v>
      </c>
      <c r="Y50" s="194">
        <f t="shared" si="43"/>
        <v>1.7854925540487294E-2</v>
      </c>
      <c r="Z50" s="64">
        <f>Revenue!C108</f>
        <v>46590762</v>
      </c>
      <c r="AA50" s="194">
        <f t="shared" ref="AA50" si="56">Z50/Z$54</f>
        <v>1.4715451875709976E-2</v>
      </c>
      <c r="AB50" s="64">
        <f>Revenue!C109</f>
        <v>51534164</v>
      </c>
      <c r="AC50" s="194">
        <f t="shared" ref="AC50" si="57">AB50/AB$54</f>
        <v>1.5908142588697497E-2</v>
      </c>
    </row>
    <row r="51" spans="1:29" x14ac:dyDescent="0.25">
      <c r="A51" s="56" t="s">
        <v>140</v>
      </c>
      <c r="B51" s="205">
        <f>Revenue!J85</f>
        <v>60279612</v>
      </c>
      <c r="C51" s="205">
        <f>Revenue!J86</f>
        <v>29368158</v>
      </c>
      <c r="D51" s="200"/>
      <c r="E51" s="205">
        <f>Revenue!J90</f>
        <v>169965506</v>
      </c>
      <c r="F51" s="200"/>
      <c r="G51" s="205">
        <f>Revenue!J91</f>
        <v>104719497</v>
      </c>
      <c r="H51" s="205">
        <f>Revenue!J92</f>
        <v>168490769</v>
      </c>
      <c r="I51" s="206">
        <f>Revenue!J93</f>
        <v>124440579</v>
      </c>
      <c r="J51" s="206">
        <f>Revenue!J94</f>
        <v>233118378</v>
      </c>
      <c r="K51" s="206">
        <f>Revenue!J95</f>
        <v>133900706</v>
      </c>
      <c r="L51" s="206">
        <f>Revenue!J96</f>
        <v>108945662</v>
      </c>
      <c r="M51" s="206">
        <f>Revenue!J97</f>
        <v>71679948</v>
      </c>
      <c r="N51" s="207">
        <f>Revenue!J98</f>
        <v>22135365</v>
      </c>
      <c r="O51" s="200"/>
      <c r="P51" s="207">
        <f>Revenue!J99</f>
        <v>46262099</v>
      </c>
      <c r="Q51" s="207">
        <f>Revenue!J100</f>
        <v>89770360</v>
      </c>
      <c r="R51" s="207">
        <f>Revenue!J101</f>
        <v>154694880</v>
      </c>
      <c r="S51" s="207">
        <f>Revenue!J102</f>
        <v>32758999</v>
      </c>
      <c r="T51" s="207">
        <f>Revenue!J103</f>
        <v>8973589</v>
      </c>
      <c r="U51" s="207">
        <f>Revenue!J104</f>
        <v>35250037</v>
      </c>
      <c r="V51" s="207">
        <f>Revenue!J105</f>
        <v>89270876</v>
      </c>
      <c r="W51" s="207">
        <f>Revenue!J106</f>
        <v>40715816</v>
      </c>
      <c r="X51" s="64">
        <f>Revenue!J107</f>
        <v>65316584</v>
      </c>
      <c r="Y51" s="200"/>
      <c r="Z51" s="18">
        <f>Revenue!J108</f>
        <v>177768482</v>
      </c>
      <c r="AA51" s="200"/>
      <c r="AB51" s="18">
        <f>Revenue!J109</f>
        <v>39825856</v>
      </c>
      <c r="AC51" s="200"/>
    </row>
    <row r="52" spans="1:29" x14ac:dyDescent="0.25">
      <c r="A52" s="56" t="s">
        <v>117</v>
      </c>
      <c r="B52" s="64">
        <f>Revenue!K85</f>
        <v>124888</v>
      </c>
      <c r="C52" s="64">
        <f>Revenue!K86</f>
        <v>50811</v>
      </c>
      <c r="D52" s="194">
        <f t="shared" si="47"/>
        <v>3.3951944497541342E-5</v>
      </c>
      <c r="E52" s="64">
        <f>Revenue!K90</f>
        <v>4199</v>
      </c>
      <c r="F52" s="194">
        <f t="shared" si="42"/>
        <v>2.646136754244309E-6</v>
      </c>
      <c r="G52" s="64">
        <f>Revenue!K91</f>
        <v>615683</v>
      </c>
      <c r="H52" s="64">
        <f>Revenue!K92</f>
        <v>89055</v>
      </c>
      <c r="I52" s="65">
        <f>Revenue!K93</f>
        <v>361169</v>
      </c>
      <c r="J52" s="65">
        <f>Revenue!K94</f>
        <v>575944</v>
      </c>
      <c r="K52" s="65">
        <f>Revenue!K95</f>
        <v>319914</v>
      </c>
      <c r="L52" s="65">
        <f>Revenue!K96</f>
        <v>3888996</v>
      </c>
      <c r="M52" s="65">
        <f>Revenue!K97</f>
        <v>552883</v>
      </c>
      <c r="N52" s="140">
        <f>Revenue!K98</f>
        <v>359314</v>
      </c>
      <c r="O52" s="194">
        <f>N52/N$54</f>
        <v>1.4109003958433702E-4</v>
      </c>
      <c r="P52" s="140">
        <f>Revenue!K99</f>
        <v>900849</v>
      </c>
      <c r="Q52" s="140">
        <f>Revenue!K100</f>
        <v>2089084</v>
      </c>
      <c r="R52" s="140">
        <f>Revenue!K101</f>
        <v>310892</v>
      </c>
      <c r="S52" s="140">
        <f>Revenue!K102</f>
        <v>1883139</v>
      </c>
      <c r="T52" s="140">
        <f>Revenue!K103</f>
        <v>2649440</v>
      </c>
      <c r="U52" s="140">
        <f>Revenue!K104</f>
        <v>4739342</v>
      </c>
      <c r="V52" s="140">
        <f>Revenue!K105</f>
        <v>4686423</v>
      </c>
      <c r="W52" s="140">
        <f>Revenue!K106</f>
        <v>20369562</v>
      </c>
      <c r="X52" s="64">
        <f>Revenue!K107</f>
        <v>77644</v>
      </c>
      <c r="Y52" s="194">
        <f>X52/X$54</f>
        <v>2.5075777751161129E-5</v>
      </c>
      <c r="Z52" s="18">
        <f>Revenue!K108</f>
        <v>2165767</v>
      </c>
      <c r="AA52" s="194">
        <f>Z52/Z$54</f>
        <v>6.8404633653557263E-4</v>
      </c>
      <c r="AB52" s="18">
        <f>Revenue!K109</f>
        <v>370635</v>
      </c>
      <c r="AC52" s="194">
        <f>AB52/AB$54</f>
        <v>1.1441176048498424E-4</v>
      </c>
    </row>
    <row r="53" spans="1:29" x14ac:dyDescent="0.25">
      <c r="A53" s="45" t="s">
        <v>3</v>
      </c>
      <c r="B53" s="42">
        <f t="shared" ref="B53:K53" si="58">SUM(B45:B52)</f>
        <v>1480280203</v>
      </c>
      <c r="C53" s="42">
        <f>SUM(C45:C52)-C51</f>
        <v>1496556405</v>
      </c>
      <c r="D53" s="195">
        <f>SUM(D45:D52)</f>
        <v>1</v>
      </c>
      <c r="E53" s="42">
        <f>SUM(E45:E52)-E51</f>
        <v>1586841645</v>
      </c>
      <c r="F53" s="195">
        <f>SUM(F45:F52)</f>
        <v>1</v>
      </c>
      <c r="G53" s="42">
        <f t="shared" si="58"/>
        <v>1837546569</v>
      </c>
      <c r="H53" s="42">
        <f t="shared" si="58"/>
        <v>2012594811</v>
      </c>
      <c r="I53" s="42">
        <f t="shared" si="58"/>
        <v>2036305245</v>
      </c>
      <c r="J53" s="47">
        <f t="shared" si="58"/>
        <v>2308600347</v>
      </c>
      <c r="K53" s="47">
        <f t="shared" si="58"/>
        <v>2326415521</v>
      </c>
      <c r="L53" s="47">
        <f>SUM(L45:L52)</f>
        <v>2424158245</v>
      </c>
      <c r="M53" s="47">
        <f>SUM(M45:M52)</f>
        <v>2518192808</v>
      </c>
      <c r="N53" s="47">
        <f>SUM(N45:N52)</f>
        <v>2568835338</v>
      </c>
      <c r="O53" s="56"/>
      <c r="P53" s="47">
        <f>SUM(P45:P52)</f>
        <v>2696787351</v>
      </c>
      <c r="Q53" s="47">
        <f>SUM(Q45:Q52)</f>
        <v>2830779434</v>
      </c>
      <c r="R53" s="47">
        <f t="shared" ref="R53:W53" si="59">SUM(R45:R52)</f>
        <v>2938557934</v>
      </c>
      <c r="S53" s="47">
        <f t="shared" si="59"/>
        <v>2858779409</v>
      </c>
      <c r="T53" s="47">
        <f t="shared" si="59"/>
        <v>2849736215</v>
      </c>
      <c r="U53" s="47">
        <f t="shared" si="59"/>
        <v>2964483000</v>
      </c>
      <c r="V53" s="47">
        <f t="shared" si="59"/>
        <v>3053946179</v>
      </c>
      <c r="W53" s="47">
        <f t="shared" si="59"/>
        <v>3081435584</v>
      </c>
      <c r="X53" s="42">
        <f>SUM(X45:X52)</f>
        <v>3161691132</v>
      </c>
      <c r="Y53" s="56"/>
      <c r="Z53" s="42">
        <f>SUM(Z45:Z52)</f>
        <v>3343880022</v>
      </c>
      <c r="AA53" s="56"/>
      <c r="AB53" s="42">
        <f>SUM(AB45:AB52)</f>
        <v>3279309266</v>
      </c>
      <c r="AC53" s="56"/>
    </row>
    <row r="54" spans="1:29" x14ac:dyDescent="0.25">
      <c r="A54" s="45" t="s">
        <v>273</v>
      </c>
      <c r="B54" s="42">
        <f>B53-B51</f>
        <v>1420000591</v>
      </c>
      <c r="C54" s="42">
        <f>C53-C51</f>
        <v>1467188247</v>
      </c>
      <c r="D54" s="195"/>
      <c r="E54" s="42">
        <f t="shared" ref="E54:N54" si="60">E53-E51</f>
        <v>1416876139</v>
      </c>
      <c r="F54" s="42">
        <f t="shared" si="60"/>
        <v>1</v>
      </c>
      <c r="G54" s="42">
        <f t="shared" si="60"/>
        <v>1732827072</v>
      </c>
      <c r="H54" s="42">
        <f t="shared" si="60"/>
        <v>1844104042</v>
      </c>
      <c r="I54" s="42">
        <f t="shared" si="60"/>
        <v>1911864666</v>
      </c>
      <c r="J54" s="42">
        <f t="shared" si="60"/>
        <v>2075481969</v>
      </c>
      <c r="K54" s="42">
        <f t="shared" si="60"/>
        <v>2192514815</v>
      </c>
      <c r="L54" s="42">
        <f t="shared" si="60"/>
        <v>2315212583</v>
      </c>
      <c r="M54" s="42">
        <f t="shared" si="60"/>
        <v>2446512860</v>
      </c>
      <c r="N54" s="42">
        <f t="shared" si="60"/>
        <v>2546699973</v>
      </c>
      <c r="O54" s="173">
        <f>SUM(O45:O52)</f>
        <v>1</v>
      </c>
      <c r="P54" s="42">
        <f t="shared" ref="P54" si="61">P53-P51</f>
        <v>2650525252</v>
      </c>
      <c r="Q54" s="42">
        <f t="shared" ref="Q54:W54" si="62">Q53-Q51</f>
        <v>2741009074</v>
      </c>
      <c r="R54" s="42">
        <f t="shared" si="62"/>
        <v>2783863054</v>
      </c>
      <c r="S54" s="42">
        <f t="shared" si="62"/>
        <v>2826020410</v>
      </c>
      <c r="T54" s="42">
        <f t="shared" si="62"/>
        <v>2840762626</v>
      </c>
      <c r="U54" s="42">
        <f t="shared" si="62"/>
        <v>2929232963</v>
      </c>
      <c r="V54" s="42">
        <f t="shared" si="62"/>
        <v>2964675303</v>
      </c>
      <c r="W54" s="42">
        <f t="shared" si="62"/>
        <v>3040719768</v>
      </c>
      <c r="X54" s="42">
        <f>X53-X51</f>
        <v>3096374548</v>
      </c>
      <c r="Y54" s="173">
        <f>SUM(Y45:Y52)</f>
        <v>1</v>
      </c>
      <c r="Z54" s="42">
        <f>Z53-Z51</f>
        <v>3166111540</v>
      </c>
      <c r="AA54" s="173">
        <f>SUM(AA45:AA52)</f>
        <v>1</v>
      </c>
      <c r="AB54" s="42">
        <f>AB53-AB51</f>
        <v>3239483410</v>
      </c>
      <c r="AC54" s="173">
        <f>SUM(AC45:AC52)</f>
        <v>1</v>
      </c>
    </row>
    <row r="56" spans="1:29" x14ac:dyDescent="0.25">
      <c r="A56" t="s">
        <v>180</v>
      </c>
      <c r="B56" s="29">
        <f>Revenue!F85</f>
        <v>70626683</v>
      </c>
      <c r="C56" s="29">
        <f>Revenue!F86</f>
        <v>68804546</v>
      </c>
      <c r="D56" s="29"/>
      <c r="E56" s="29">
        <f>Revenue!F90</f>
        <v>824698948</v>
      </c>
      <c r="F56" s="29"/>
      <c r="G56" s="29">
        <f>Revenue!F91</f>
        <v>824013509</v>
      </c>
      <c r="H56" s="29">
        <f>Revenue!F92</f>
        <v>879968059</v>
      </c>
      <c r="I56" s="29">
        <f>Revenue!F93</f>
        <v>896157721</v>
      </c>
      <c r="J56" s="29">
        <f>Revenue!F94</f>
        <v>894471509</v>
      </c>
      <c r="K56" s="29">
        <f>Revenue!F95</f>
        <v>802928100</v>
      </c>
      <c r="L56" s="29">
        <f>Revenue!F96</f>
        <v>834915583</v>
      </c>
      <c r="M56" s="29">
        <f>Revenue!F97</f>
        <v>835317199</v>
      </c>
      <c r="N56" s="29">
        <f>Revenue!F98</f>
        <v>889645105</v>
      </c>
      <c r="P56" s="103">
        <f>Revenue!F99</f>
        <v>890174085</v>
      </c>
      <c r="Q56" s="51">
        <f>Revenue!F100</f>
        <v>939851328</v>
      </c>
      <c r="R56" s="51">
        <f>Revenue!F101</f>
        <v>940832465</v>
      </c>
      <c r="S56" s="51">
        <f>Revenue!F102</f>
        <v>940158233</v>
      </c>
      <c r="T56" s="51">
        <f>Revenue!F103</f>
        <v>940938788</v>
      </c>
      <c r="U56" s="51">
        <f>Revenue!F104</f>
        <v>929045885</v>
      </c>
      <c r="V56" s="51">
        <f>Revenue!F105</f>
        <v>924330276</v>
      </c>
      <c r="W56" s="51">
        <f>Revenue!F106</f>
        <v>932368455</v>
      </c>
      <c r="X56" s="51">
        <f>Revenue!F107</f>
        <v>926491022</v>
      </c>
      <c r="Z56" s="18">
        <f>Revenue!F108</f>
        <v>924007773</v>
      </c>
      <c r="AB56" s="18">
        <f>Revenue!F109</f>
        <v>914851022</v>
      </c>
    </row>
    <row r="57" spans="1:29" x14ac:dyDescent="0.25">
      <c r="A57" t="s">
        <v>189</v>
      </c>
      <c r="B57" s="29"/>
      <c r="C57" s="29"/>
      <c r="D57" s="29"/>
      <c r="E57" s="29">
        <f>Revenue!O90</f>
        <v>417876569</v>
      </c>
      <c r="F57" s="29"/>
      <c r="G57" s="29">
        <f>Revenue!O91</f>
        <v>417575860</v>
      </c>
      <c r="H57" s="29">
        <f>Revenue!O92</f>
        <v>454134768</v>
      </c>
      <c r="I57" s="29">
        <f>Revenue!O93</f>
        <v>452996781.56379998</v>
      </c>
      <c r="J57" s="29">
        <f>Revenue!O94</f>
        <v>473345275</v>
      </c>
      <c r="K57" s="29">
        <f>Revenue!O95</f>
        <v>371302036</v>
      </c>
      <c r="L57" s="29">
        <f>Revenue!O96</f>
        <v>363392367</v>
      </c>
      <c r="M57" s="29">
        <f>Revenue!O97</f>
        <v>363335002</v>
      </c>
      <c r="N57" s="29">
        <f>Revenue!O98</f>
        <v>363065989</v>
      </c>
      <c r="P57" s="51">
        <f>Revenue!O99</f>
        <v>363653009</v>
      </c>
      <c r="Q57" s="51">
        <f>Revenue!O100</f>
        <v>363132443</v>
      </c>
      <c r="R57" s="51">
        <f>Revenue!O101</f>
        <v>363562542</v>
      </c>
      <c r="S57" s="51">
        <f>Revenue!O102</f>
        <v>363086707</v>
      </c>
      <c r="T57" s="51">
        <f>Revenue!O103</f>
        <v>363639896</v>
      </c>
      <c r="U57" s="51">
        <f>Revenue!O104</f>
        <v>363563724</v>
      </c>
      <c r="V57" s="51">
        <f>Revenue!O105</f>
        <v>363318165</v>
      </c>
      <c r="W57" s="51">
        <f>Revenue!O106</f>
        <v>363109425</v>
      </c>
      <c r="X57" s="51">
        <f>Revenue!O107</f>
        <v>363398238</v>
      </c>
      <c r="Z57" s="29">
        <f>Revenue!O108</f>
        <v>363398238</v>
      </c>
      <c r="AB57" s="29">
        <f>Revenue!O109</f>
        <v>363398238</v>
      </c>
    </row>
    <row r="58" spans="1:29" x14ac:dyDescent="0.25">
      <c r="A58" t="s">
        <v>179</v>
      </c>
      <c r="B58" s="29"/>
      <c r="C58" s="29"/>
      <c r="D58" s="29"/>
      <c r="E58" s="29">
        <f>E56-E57</f>
        <v>406822379</v>
      </c>
      <c r="F58" s="29"/>
      <c r="G58" s="29">
        <f t="shared" ref="G58:AB58" si="63">G56-G57</f>
        <v>406437649</v>
      </c>
      <c r="H58" s="29">
        <f t="shared" si="63"/>
        <v>425833291</v>
      </c>
      <c r="I58" s="29">
        <f t="shared" si="63"/>
        <v>443160939.43620002</v>
      </c>
      <c r="J58" s="29">
        <f t="shared" si="63"/>
        <v>421126234</v>
      </c>
      <c r="K58" s="29">
        <f t="shared" si="63"/>
        <v>431626064</v>
      </c>
      <c r="L58" s="29">
        <f t="shared" si="63"/>
        <v>471523216</v>
      </c>
      <c r="M58" s="29">
        <f t="shared" si="63"/>
        <v>471982197</v>
      </c>
      <c r="N58" s="29">
        <f t="shared" si="63"/>
        <v>526579116</v>
      </c>
      <c r="P58" s="29">
        <f t="shared" si="63"/>
        <v>526521076</v>
      </c>
      <c r="Q58" s="29">
        <f t="shared" si="63"/>
        <v>576718885</v>
      </c>
      <c r="R58" s="29">
        <f t="shared" si="63"/>
        <v>577269923</v>
      </c>
      <c r="S58" s="29">
        <f t="shared" si="63"/>
        <v>577071526</v>
      </c>
      <c r="T58" s="29">
        <f t="shared" si="63"/>
        <v>577298892</v>
      </c>
      <c r="U58" s="29">
        <f t="shared" si="63"/>
        <v>565482161</v>
      </c>
      <c r="V58" s="29">
        <f t="shared" si="63"/>
        <v>561012111</v>
      </c>
      <c r="W58" s="29">
        <f t="shared" si="63"/>
        <v>569259030</v>
      </c>
      <c r="X58" s="29">
        <f t="shared" si="63"/>
        <v>563092784</v>
      </c>
      <c r="Y58" s="29"/>
      <c r="Z58" s="29">
        <f t="shared" si="63"/>
        <v>560609535</v>
      </c>
      <c r="AB58" s="29">
        <f t="shared" si="63"/>
        <v>551452784</v>
      </c>
    </row>
    <row r="59" spans="1:29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29" x14ac:dyDescent="0.25">
      <c r="A60" t="s">
        <v>259</v>
      </c>
      <c r="E60" s="29">
        <f>E51-E22</f>
        <v>120333966</v>
      </c>
      <c r="F60" s="29"/>
      <c r="G60" s="29">
        <f t="shared" ref="G60:N60" si="64">G51-G22</f>
        <v>44268826</v>
      </c>
      <c r="H60" s="29">
        <f t="shared" si="64"/>
        <v>104553110</v>
      </c>
      <c r="I60" s="29">
        <f t="shared" si="64"/>
        <v>56225605</v>
      </c>
      <c r="J60" s="29">
        <f t="shared" si="64"/>
        <v>155270798</v>
      </c>
      <c r="K60" s="29">
        <f t="shared" si="64"/>
        <v>44966839</v>
      </c>
      <c r="L60" s="29">
        <f t="shared" si="64"/>
        <v>15319269</v>
      </c>
      <c r="M60" s="29">
        <f t="shared" si="64"/>
        <v>-24839029</v>
      </c>
      <c r="N60" s="29">
        <f t="shared" si="64"/>
        <v>-79983278</v>
      </c>
      <c r="X60" s="29">
        <f>X51-X22</f>
        <v>-22440383</v>
      </c>
      <c r="Z60" s="29">
        <f>Z51-Z22</f>
        <v>90537081</v>
      </c>
      <c r="AB60" s="29">
        <f>AB51-AB22</f>
        <v>-48435328</v>
      </c>
    </row>
  </sheetData>
  <mergeCells count="8">
    <mergeCell ref="AB26:AC26"/>
    <mergeCell ref="AB43:AC43"/>
    <mergeCell ref="N43:O43"/>
    <mergeCell ref="N26:O26"/>
    <mergeCell ref="X26:Y26"/>
    <mergeCell ref="X43:Y43"/>
    <mergeCell ref="Z26:AA26"/>
    <mergeCell ref="Z43:AA43"/>
  </mergeCells>
  <phoneticPr fontId="0" type="noConversion"/>
  <printOptions gridLines="1"/>
  <pageMargins left="0.7" right="0.7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7"/>
  <sheetViews>
    <sheetView topLeftCell="A22" workbookViewId="0">
      <selection activeCell="F40" sqref="F40"/>
    </sheetView>
  </sheetViews>
  <sheetFormatPr defaultRowHeight="13.2" x14ac:dyDescent="0.25"/>
  <cols>
    <col min="1" max="1" width="28.33203125" customWidth="1"/>
    <col min="2" max="2" width="14.44140625" bestFit="1" customWidth="1"/>
    <col min="4" max="4" width="8.33203125" bestFit="1" customWidth="1"/>
  </cols>
  <sheetData>
    <row r="1" spans="1:4" x14ac:dyDescent="0.25">
      <c r="A1" t="s">
        <v>233</v>
      </c>
    </row>
    <row r="2" spans="1:4" x14ac:dyDescent="0.25">
      <c r="A2" t="s">
        <v>232</v>
      </c>
    </row>
    <row r="3" spans="1:4" x14ac:dyDescent="0.25">
      <c r="A3" t="s">
        <v>231</v>
      </c>
    </row>
    <row r="4" spans="1:4" x14ac:dyDescent="0.25">
      <c r="A4" t="s">
        <v>230</v>
      </c>
    </row>
    <row r="6" spans="1:4" x14ac:dyDescent="0.25">
      <c r="A6" t="s">
        <v>229</v>
      </c>
    </row>
    <row r="7" spans="1:4" x14ac:dyDescent="0.25">
      <c r="A7" t="s">
        <v>266</v>
      </c>
    </row>
    <row r="9" spans="1:4" x14ac:dyDescent="0.25">
      <c r="A9" t="s">
        <v>228</v>
      </c>
      <c r="D9" t="s">
        <v>227</v>
      </c>
    </row>
    <row r="11" spans="1:4" x14ac:dyDescent="0.25">
      <c r="A11" t="s">
        <v>136</v>
      </c>
      <c r="B11" s="176">
        <v>2012730122</v>
      </c>
      <c r="D11" s="177">
        <v>0.621</v>
      </c>
    </row>
    <row r="12" spans="1:4" x14ac:dyDescent="0.25">
      <c r="A12" t="s">
        <v>226</v>
      </c>
      <c r="B12" s="178">
        <v>51534164</v>
      </c>
      <c r="D12" s="177">
        <v>1.6E-2</v>
      </c>
    </row>
    <row r="13" spans="1:4" x14ac:dyDescent="0.25">
      <c r="A13" t="s">
        <v>225</v>
      </c>
      <c r="B13" s="178">
        <v>914851022</v>
      </c>
      <c r="D13" s="177">
        <v>0.28299999999999997</v>
      </c>
    </row>
    <row r="14" spans="1:4" x14ac:dyDescent="0.25">
      <c r="A14" t="s">
        <v>138</v>
      </c>
      <c r="B14" s="178">
        <v>94309413</v>
      </c>
      <c r="D14" s="177">
        <v>2.9000000000000001E-2</v>
      </c>
    </row>
    <row r="15" spans="1:4" x14ac:dyDescent="0.25">
      <c r="A15" t="s">
        <v>139</v>
      </c>
      <c r="B15" s="178">
        <v>165688054</v>
      </c>
      <c r="D15" s="177">
        <v>5.0999999999999997E-2</v>
      </c>
    </row>
    <row r="16" spans="1:4" x14ac:dyDescent="0.25">
      <c r="A16" t="s">
        <v>224</v>
      </c>
      <c r="B16" s="178">
        <v>370635</v>
      </c>
      <c r="D16" s="177">
        <v>0</v>
      </c>
    </row>
    <row r="17" spans="1:4" x14ac:dyDescent="0.25">
      <c r="A17" t="s">
        <v>223</v>
      </c>
      <c r="B17" s="176">
        <v>3239483410</v>
      </c>
      <c r="C17" s="176">
        <v>0</v>
      </c>
      <c r="D17" s="177">
        <v>1</v>
      </c>
    </row>
    <row r="19" spans="1:4" x14ac:dyDescent="0.25">
      <c r="A19" t="s">
        <v>222</v>
      </c>
      <c r="B19" s="178">
        <v>39825856</v>
      </c>
    </row>
    <row r="22" spans="1:4" x14ac:dyDescent="0.25">
      <c r="A22" t="s">
        <v>221</v>
      </c>
    </row>
    <row r="24" spans="1:4" x14ac:dyDescent="0.25">
      <c r="A24" t="s">
        <v>220</v>
      </c>
      <c r="B24" s="176">
        <v>1249095573</v>
      </c>
      <c r="D24" s="177">
        <v>0.40200000000000002</v>
      </c>
    </row>
    <row r="25" spans="1:4" x14ac:dyDescent="0.25">
      <c r="A25" t="s">
        <v>219</v>
      </c>
      <c r="B25" s="178">
        <v>610556847</v>
      </c>
      <c r="D25" s="177">
        <v>0.19700000000000001</v>
      </c>
    </row>
    <row r="26" spans="1:4" x14ac:dyDescent="0.25">
      <c r="A26" t="s">
        <v>218</v>
      </c>
      <c r="B26" s="178">
        <v>40459610</v>
      </c>
      <c r="D26" s="177">
        <v>1.2999999999999999E-2</v>
      </c>
    </row>
    <row r="27" spans="1:4" x14ac:dyDescent="0.25">
      <c r="A27" t="s">
        <v>147</v>
      </c>
      <c r="B27" s="178">
        <v>51417495</v>
      </c>
      <c r="D27" s="177">
        <v>1.7000000000000001E-2</v>
      </c>
    </row>
    <row r="29" spans="1:4" x14ac:dyDescent="0.25">
      <c r="A29" t="s">
        <v>148</v>
      </c>
      <c r="B29" s="178">
        <v>240760002</v>
      </c>
      <c r="D29" s="177">
        <v>7.8E-2</v>
      </c>
    </row>
    <row r="30" spans="1:4" x14ac:dyDescent="0.25">
      <c r="A30" t="s">
        <v>149</v>
      </c>
      <c r="B30" s="178">
        <v>105629780</v>
      </c>
      <c r="D30" s="177">
        <v>3.4000000000000002E-2</v>
      </c>
    </row>
    <row r="31" spans="1:4" x14ac:dyDescent="0.25">
      <c r="A31" t="s">
        <v>217</v>
      </c>
      <c r="B31" s="178">
        <v>132033788</v>
      </c>
      <c r="D31" s="177">
        <v>4.2999999999999997E-2</v>
      </c>
    </row>
    <row r="32" spans="1:4" x14ac:dyDescent="0.25">
      <c r="A32" t="s">
        <v>151</v>
      </c>
      <c r="B32" s="178">
        <v>170731590</v>
      </c>
      <c r="D32" s="177">
        <v>5.5E-2</v>
      </c>
    </row>
    <row r="33" spans="1:4" x14ac:dyDescent="0.25">
      <c r="A33" t="s">
        <v>99</v>
      </c>
      <c r="B33" s="178">
        <v>21139499</v>
      </c>
      <c r="D33" s="177">
        <v>7.0000000000000001E-3</v>
      </c>
    </row>
    <row r="34" spans="1:4" x14ac:dyDescent="0.25">
      <c r="A34" t="s">
        <v>152</v>
      </c>
      <c r="B34" s="178">
        <v>255525038</v>
      </c>
      <c r="D34" s="177">
        <v>8.2000000000000003E-2</v>
      </c>
    </row>
    <row r="35" spans="1:4" x14ac:dyDescent="0.25">
      <c r="A35" t="s">
        <v>103</v>
      </c>
      <c r="B35" s="178">
        <v>140228168</v>
      </c>
      <c r="D35" s="177">
        <v>4.4999999999999998E-2</v>
      </c>
    </row>
    <row r="36" spans="1:4" x14ac:dyDescent="0.25">
      <c r="A36" t="s">
        <v>153</v>
      </c>
      <c r="B36" s="178">
        <v>368985</v>
      </c>
      <c r="D36" s="177">
        <v>0</v>
      </c>
    </row>
    <row r="37" spans="1:4" x14ac:dyDescent="0.25">
      <c r="A37" t="s">
        <v>154</v>
      </c>
      <c r="B37" s="178">
        <v>5775753</v>
      </c>
      <c r="D37" s="177">
        <v>2E-3</v>
      </c>
    </row>
    <row r="38" spans="1:4" x14ac:dyDescent="0.25">
      <c r="A38" t="s">
        <v>163</v>
      </c>
      <c r="B38" s="178">
        <v>44059041</v>
      </c>
      <c r="D38" s="177">
        <v>1.4E-2</v>
      </c>
    </row>
    <row r="39" spans="1:4" x14ac:dyDescent="0.25">
      <c r="A39" t="s">
        <v>157</v>
      </c>
      <c r="B39" s="178">
        <v>2540320</v>
      </c>
      <c r="D39" s="177">
        <v>1E-3</v>
      </c>
    </row>
    <row r="40" spans="1:4" x14ac:dyDescent="0.25">
      <c r="A40" t="s">
        <v>104</v>
      </c>
      <c r="B40" s="178">
        <v>34467869</v>
      </c>
      <c r="D40" s="177">
        <v>1.0999999999999999E-2</v>
      </c>
    </row>
    <row r="42" spans="1:4" x14ac:dyDescent="0.25">
      <c r="A42" t="s">
        <v>216</v>
      </c>
      <c r="B42" s="176">
        <v>3104789358</v>
      </c>
      <c r="D42" s="177">
        <v>1</v>
      </c>
    </row>
    <row r="43" spans="1:4" x14ac:dyDescent="0.25">
      <c r="A43" t="s">
        <v>158</v>
      </c>
      <c r="B43" s="178">
        <v>165850689</v>
      </c>
    </row>
    <row r="45" spans="1:4" x14ac:dyDescent="0.25">
      <c r="A45" t="s">
        <v>215</v>
      </c>
      <c r="B45" s="176">
        <v>3270640047</v>
      </c>
    </row>
    <row r="47" spans="1:4" x14ac:dyDescent="0.25">
      <c r="A47" t="s">
        <v>214</v>
      </c>
      <c r="B47" s="178">
        <v>88261184</v>
      </c>
    </row>
    <row r="49" spans="1:2" x14ac:dyDescent="0.25">
      <c r="A49" t="s">
        <v>213</v>
      </c>
    </row>
    <row r="51" spans="1:2" x14ac:dyDescent="0.25">
      <c r="A51" t="s">
        <v>212</v>
      </c>
    </row>
    <row r="52" spans="1:2" x14ac:dyDescent="0.25">
      <c r="A52" t="s">
        <v>211</v>
      </c>
      <c r="B52" s="178">
        <v>102807910</v>
      </c>
    </row>
    <row r="53" spans="1:2" x14ac:dyDescent="0.25">
      <c r="A53" t="s">
        <v>210</v>
      </c>
      <c r="B53" s="178">
        <v>342735</v>
      </c>
    </row>
    <row r="54" spans="1:2" x14ac:dyDescent="0.25">
      <c r="A54" t="s">
        <v>205</v>
      </c>
      <c r="B54" s="178">
        <v>38551115</v>
      </c>
    </row>
    <row r="55" spans="1:2" x14ac:dyDescent="0.25">
      <c r="A55" t="s">
        <v>209</v>
      </c>
      <c r="B55" s="178">
        <v>1462467</v>
      </c>
    </row>
    <row r="56" spans="1:2" x14ac:dyDescent="0.25">
      <c r="A56" t="s">
        <v>208</v>
      </c>
      <c r="B56" s="176">
        <v>143164227</v>
      </c>
    </row>
    <row r="58" spans="1:2" x14ac:dyDescent="0.25">
      <c r="A58" t="s">
        <v>207</v>
      </c>
    </row>
    <row r="59" spans="1:2" x14ac:dyDescent="0.25">
      <c r="A59" t="s">
        <v>206</v>
      </c>
      <c r="B59" s="176">
        <v>108324851</v>
      </c>
    </row>
    <row r="60" spans="1:2" x14ac:dyDescent="0.25">
      <c r="A60" t="s">
        <v>205</v>
      </c>
      <c r="B60" s="178">
        <v>38551115</v>
      </c>
    </row>
    <row r="61" spans="1:2" x14ac:dyDescent="0.25">
      <c r="A61" t="s">
        <v>204</v>
      </c>
      <c r="B61" s="176">
        <v>146875966</v>
      </c>
    </row>
    <row r="63" spans="1:2" x14ac:dyDescent="0.25">
      <c r="A63" t="s">
        <v>203</v>
      </c>
    </row>
    <row r="64" spans="1:2" x14ac:dyDescent="0.25">
      <c r="A64" t="s">
        <v>202</v>
      </c>
    </row>
    <row r="66" spans="1:1" x14ac:dyDescent="0.25">
      <c r="A66" t="s">
        <v>201</v>
      </c>
    </row>
    <row r="67" spans="1:1" x14ac:dyDescent="0.25">
      <c r="A67" t="s">
        <v>267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8"/>
  <sheetViews>
    <sheetView topLeftCell="A8" workbookViewId="0">
      <selection activeCell="D8" sqref="D8"/>
    </sheetView>
  </sheetViews>
  <sheetFormatPr defaultColWidth="9.109375" defaultRowHeight="10.199999999999999" x14ac:dyDescent="0.2"/>
  <cols>
    <col min="1" max="1" width="63.88671875" style="146" customWidth="1"/>
    <col min="2" max="2" width="18.88671875" style="146" customWidth="1"/>
    <col min="3" max="3" width="1.44140625" style="146" customWidth="1"/>
    <col min="4" max="4" width="10.44140625" style="146" customWidth="1"/>
    <col min="5" max="5" width="9.6640625" style="146" bestFit="1" customWidth="1"/>
    <col min="6" max="6" width="11" style="146" customWidth="1"/>
    <col min="7" max="16384" width="9.109375" style="146"/>
  </cols>
  <sheetData>
    <row r="1" spans="1:7" ht="13.2" x14ac:dyDescent="0.25">
      <c r="A1" s="211" t="s">
        <v>233</v>
      </c>
      <c r="B1" s="211"/>
      <c r="C1" s="211"/>
      <c r="D1" s="211"/>
    </row>
    <row r="2" spans="1:7" ht="13.2" x14ac:dyDescent="0.25">
      <c r="A2" s="211" t="s">
        <v>232</v>
      </c>
      <c r="B2" s="211"/>
      <c r="C2" s="211"/>
      <c r="D2" s="211"/>
    </row>
    <row r="3" spans="1:7" ht="13.2" x14ac:dyDescent="0.25">
      <c r="A3" s="211" t="s">
        <v>231</v>
      </c>
      <c r="B3" s="211"/>
      <c r="C3" s="211"/>
      <c r="D3" s="211"/>
    </row>
    <row r="4" spans="1:7" ht="13.2" x14ac:dyDescent="0.25">
      <c r="A4" s="211" t="s">
        <v>230</v>
      </c>
      <c r="B4" s="211"/>
      <c r="C4" s="211"/>
      <c r="D4" s="211"/>
    </row>
    <row r="5" spans="1:7" ht="9" customHeight="1" x14ac:dyDescent="0.25">
      <c r="A5" s="211"/>
      <c r="B5" s="211"/>
      <c r="C5" s="211"/>
      <c r="D5" s="211"/>
    </row>
    <row r="6" spans="1:7" ht="13.2" x14ac:dyDescent="0.25">
      <c r="A6" s="211" t="s">
        <v>229</v>
      </c>
      <c r="B6" s="211"/>
      <c r="C6" s="211"/>
      <c r="D6" s="211"/>
    </row>
    <row r="7" spans="1:7" ht="13.2" x14ac:dyDescent="0.25">
      <c r="A7" s="210" t="s">
        <v>260</v>
      </c>
      <c r="B7" s="210"/>
      <c r="C7" s="210"/>
      <c r="D7" s="210"/>
    </row>
    <row r="8" spans="1:7" ht="9.75" customHeight="1" x14ac:dyDescent="0.25">
      <c r="A8" s="147"/>
      <c r="B8" s="147"/>
      <c r="C8" s="147"/>
      <c r="D8" s="147"/>
    </row>
    <row r="9" spans="1:7" ht="13.2" x14ac:dyDescent="0.25">
      <c r="A9" s="148" t="s">
        <v>228</v>
      </c>
      <c r="B9" s="149"/>
      <c r="C9" s="149"/>
      <c r="D9" s="150" t="s">
        <v>227</v>
      </c>
    </row>
    <row r="10" spans="1:7" ht="8.1" customHeight="1" x14ac:dyDescent="0.25">
      <c r="A10" s="149"/>
      <c r="B10" s="149"/>
      <c r="C10" s="149"/>
      <c r="D10" s="149"/>
    </row>
    <row r="11" spans="1:7" ht="13.2" x14ac:dyDescent="0.25">
      <c r="A11" s="149" t="s">
        <v>136</v>
      </c>
      <c r="B11" s="151">
        <v>1947380582</v>
      </c>
      <c r="C11" s="152"/>
      <c r="D11" s="153">
        <f>ROUND(B11/$B$17,3)</f>
        <v>0.61499999999999999</v>
      </c>
      <c r="E11" s="154"/>
      <c r="F11" s="155"/>
    </row>
    <row r="12" spans="1:7" ht="13.2" x14ac:dyDescent="0.25">
      <c r="A12" s="149" t="s">
        <v>226</v>
      </c>
      <c r="B12" s="156">
        <v>46590762</v>
      </c>
      <c r="C12" s="156"/>
      <c r="D12" s="153">
        <f t="shared" ref="D12:D16" si="0">ROUND(B12/$B$17,3)</f>
        <v>1.4999999999999999E-2</v>
      </c>
      <c r="F12" s="155"/>
    </row>
    <row r="13" spans="1:7" ht="13.2" x14ac:dyDescent="0.25">
      <c r="A13" s="149" t="s">
        <v>225</v>
      </c>
      <c r="B13" s="156">
        <v>924007773</v>
      </c>
      <c r="C13" s="156"/>
      <c r="D13" s="153">
        <f>ROUND(B13/$B$17,3)</f>
        <v>0.29199999999999998</v>
      </c>
      <c r="E13" s="154"/>
      <c r="F13" s="155"/>
      <c r="G13" s="157"/>
    </row>
    <row r="14" spans="1:7" ht="13.2" x14ac:dyDescent="0.25">
      <c r="A14" s="149" t="s">
        <v>138</v>
      </c>
      <c r="B14" s="156">
        <v>76771701</v>
      </c>
      <c r="C14" s="156"/>
      <c r="D14" s="153">
        <f t="shared" si="0"/>
        <v>2.4E-2</v>
      </c>
      <c r="F14" s="155"/>
    </row>
    <row r="15" spans="1:7" ht="13.2" x14ac:dyDescent="0.25">
      <c r="A15" s="149" t="s">
        <v>139</v>
      </c>
      <c r="B15" s="156">
        <v>169194955</v>
      </c>
      <c r="C15" s="156"/>
      <c r="D15" s="153">
        <f t="shared" si="0"/>
        <v>5.2999999999999999E-2</v>
      </c>
      <c r="F15" s="155"/>
    </row>
    <row r="16" spans="1:7" ht="13.8" thickBot="1" x14ac:dyDescent="0.3">
      <c r="A16" s="149" t="s">
        <v>224</v>
      </c>
      <c r="B16" s="156">
        <v>2165767</v>
      </c>
      <c r="C16" s="156"/>
      <c r="D16" s="153">
        <f t="shared" si="0"/>
        <v>1E-3</v>
      </c>
      <c r="F16" s="155"/>
    </row>
    <row r="17" spans="1:8" ht="13.8" thickTop="1" x14ac:dyDescent="0.25">
      <c r="A17" s="148" t="s">
        <v>223</v>
      </c>
      <c r="B17" s="158">
        <f>SUM(B11:B16)</f>
        <v>3166111540</v>
      </c>
      <c r="C17" s="159">
        <f>SUM(C11:C16)</f>
        <v>0</v>
      </c>
      <c r="D17" s="153">
        <f>SUM(D11:D16)</f>
        <v>1</v>
      </c>
      <c r="F17" s="160"/>
      <c r="G17" s="157"/>
    </row>
    <row r="18" spans="1:8" ht="15" customHeight="1" x14ac:dyDescent="0.25">
      <c r="A18" s="148"/>
      <c r="B18" s="156"/>
      <c r="C18" s="156"/>
      <c r="F18" s="161"/>
    </row>
    <row r="19" spans="1:8" ht="13.5" customHeight="1" x14ac:dyDescent="0.25">
      <c r="A19" s="149" t="s">
        <v>222</v>
      </c>
      <c r="B19" s="162">
        <v>177768482</v>
      </c>
      <c r="C19" s="149"/>
      <c r="D19" s="149"/>
    </row>
    <row r="20" spans="1:8" ht="13.2" x14ac:dyDescent="0.25">
      <c r="A20" s="149"/>
      <c r="B20" s="163"/>
      <c r="C20" s="163"/>
      <c r="D20" s="163"/>
    </row>
    <row r="21" spans="1:8" ht="6.75" customHeight="1" x14ac:dyDescent="0.25">
      <c r="A21" s="149"/>
      <c r="B21" s="149"/>
      <c r="C21" s="149"/>
      <c r="D21" s="149"/>
    </row>
    <row r="22" spans="1:8" ht="11.1" customHeight="1" x14ac:dyDescent="0.25">
      <c r="A22" s="148" t="s">
        <v>221</v>
      </c>
      <c r="B22" s="149"/>
      <c r="C22" s="149"/>
      <c r="D22" s="149"/>
    </row>
    <row r="23" spans="1:8" ht="13.2" x14ac:dyDescent="0.25">
      <c r="A23" s="149"/>
      <c r="B23" s="149"/>
      <c r="C23" s="149"/>
      <c r="D23" s="149"/>
    </row>
    <row r="24" spans="1:8" ht="11.1" customHeight="1" x14ac:dyDescent="0.25">
      <c r="A24" s="149" t="s">
        <v>220</v>
      </c>
      <c r="B24" s="151">
        <v>1227267562</v>
      </c>
      <c r="C24" s="156"/>
      <c r="D24" s="153">
        <f>ROUND(B24/$B$42,4)</f>
        <v>0.40489999999999998</v>
      </c>
      <c r="F24" s="164"/>
    </row>
    <row r="25" spans="1:8" ht="13.2" x14ac:dyDescent="0.25">
      <c r="A25" s="149" t="s">
        <v>219</v>
      </c>
      <c r="B25" s="156">
        <v>595636726</v>
      </c>
      <c r="C25" s="156"/>
      <c r="D25" s="153">
        <f>ROUND(B25/$B$42,4)</f>
        <v>0.19650000000000001</v>
      </c>
      <c r="E25" s="153"/>
      <c r="F25" s="164"/>
      <c r="G25" s="165"/>
      <c r="H25" s="166"/>
    </row>
    <row r="26" spans="1:8" ht="13.2" x14ac:dyDescent="0.25">
      <c r="A26" s="149" t="s">
        <v>218</v>
      </c>
      <c r="B26" s="156">
        <v>40039216</v>
      </c>
      <c r="C26" s="156"/>
      <c r="D26" s="153">
        <f>ROUND(B26/$B$42,4)</f>
        <v>1.32E-2</v>
      </c>
      <c r="E26" s="153"/>
      <c r="F26" s="164"/>
      <c r="G26" s="165"/>
      <c r="H26" s="166"/>
    </row>
    <row r="27" spans="1:8" ht="13.2" x14ac:dyDescent="0.25">
      <c r="A27" s="149" t="s">
        <v>147</v>
      </c>
      <c r="B27" s="156">
        <v>49595526</v>
      </c>
      <c r="C27" s="156"/>
      <c r="D27" s="153">
        <f>ROUND(B27/$B$42,4)</f>
        <v>1.6400000000000001E-2</v>
      </c>
      <c r="E27" s="153"/>
      <c r="F27" s="164"/>
      <c r="G27" s="165"/>
      <c r="H27" s="166"/>
    </row>
    <row r="28" spans="1:8" ht="13.2" x14ac:dyDescent="0.25">
      <c r="A28" s="149"/>
      <c r="B28" s="152"/>
      <c r="C28" s="156"/>
      <c r="D28" s="153"/>
      <c r="E28" s="153"/>
      <c r="G28" s="157"/>
      <c r="H28" s="166"/>
    </row>
    <row r="29" spans="1:8" ht="11.1" customHeight="1" x14ac:dyDescent="0.25">
      <c r="A29" s="149" t="s">
        <v>148</v>
      </c>
      <c r="B29" s="156">
        <v>232146740</v>
      </c>
      <c r="C29" s="156"/>
      <c r="D29" s="153">
        <f t="shared" ref="D29:D39" si="1">ROUND(B29/$B$42,4)</f>
        <v>7.6600000000000001E-2</v>
      </c>
      <c r="E29" s="153"/>
      <c r="F29" s="164"/>
      <c r="G29" s="165"/>
      <c r="H29" s="166"/>
    </row>
    <row r="30" spans="1:8" ht="13.2" x14ac:dyDescent="0.25">
      <c r="A30" s="149" t="s">
        <v>149</v>
      </c>
      <c r="B30" s="156">
        <v>104149679</v>
      </c>
      <c r="C30" s="156"/>
      <c r="D30" s="153">
        <f t="shared" si="1"/>
        <v>3.44E-2</v>
      </c>
      <c r="E30" s="153"/>
      <c r="F30" s="164"/>
      <c r="G30" s="165"/>
      <c r="H30" s="166"/>
    </row>
    <row r="31" spans="1:8" ht="13.2" x14ac:dyDescent="0.25">
      <c r="A31" s="149" t="s">
        <v>217</v>
      </c>
      <c r="B31" s="156">
        <v>128084947</v>
      </c>
      <c r="C31" s="156"/>
      <c r="D31" s="153">
        <f t="shared" si="1"/>
        <v>4.2299999999999997E-2</v>
      </c>
      <c r="E31" s="153"/>
      <c r="F31" s="164"/>
      <c r="G31" s="165"/>
      <c r="H31" s="166"/>
    </row>
    <row r="32" spans="1:8" ht="13.2" x14ac:dyDescent="0.25">
      <c r="A32" s="149" t="s">
        <v>151</v>
      </c>
      <c r="B32" s="156">
        <v>168504728</v>
      </c>
      <c r="C32" s="156"/>
      <c r="D32" s="153">
        <f t="shared" si="1"/>
        <v>5.5599999999999997E-2</v>
      </c>
      <c r="E32" s="153"/>
      <c r="F32" s="164"/>
      <c r="G32" s="165"/>
      <c r="H32" s="166"/>
    </row>
    <row r="33" spans="1:8" ht="13.2" x14ac:dyDescent="0.25">
      <c r="A33" s="149" t="s">
        <v>99</v>
      </c>
      <c r="B33" s="156">
        <v>20164017</v>
      </c>
      <c r="C33" s="156"/>
      <c r="D33" s="153">
        <f t="shared" si="1"/>
        <v>6.7000000000000002E-3</v>
      </c>
      <c r="E33" s="153"/>
      <c r="F33" s="164"/>
      <c r="G33" s="165"/>
      <c r="H33" s="166"/>
    </row>
    <row r="34" spans="1:8" ht="13.2" x14ac:dyDescent="0.25">
      <c r="A34" s="149" t="s">
        <v>152</v>
      </c>
      <c r="B34" s="156">
        <v>243271198</v>
      </c>
      <c r="C34" s="156"/>
      <c r="D34" s="153">
        <f t="shared" si="1"/>
        <v>8.0299999999999996E-2</v>
      </c>
      <c r="E34" s="153"/>
      <c r="F34" s="164"/>
      <c r="G34" s="165"/>
      <c r="H34" s="166"/>
    </row>
    <row r="35" spans="1:8" ht="13.2" x14ac:dyDescent="0.25">
      <c r="A35" s="149" t="s">
        <v>103</v>
      </c>
      <c r="B35" s="156">
        <v>134494791</v>
      </c>
      <c r="C35" s="156"/>
      <c r="D35" s="153">
        <f t="shared" si="1"/>
        <v>4.4400000000000002E-2</v>
      </c>
      <c r="E35" s="153"/>
      <c r="F35" s="164"/>
      <c r="G35" s="165"/>
      <c r="H35" s="166"/>
    </row>
    <row r="36" spans="1:8" ht="13.2" x14ac:dyDescent="0.25">
      <c r="A36" s="149" t="s">
        <v>153</v>
      </c>
      <c r="B36" s="156">
        <v>644797</v>
      </c>
      <c r="C36" s="156"/>
      <c r="D36" s="153">
        <f t="shared" si="1"/>
        <v>2.0000000000000001E-4</v>
      </c>
      <c r="E36" s="153"/>
      <c r="F36" s="164"/>
      <c r="G36" s="165"/>
      <c r="H36" s="166"/>
    </row>
    <row r="37" spans="1:8" ht="13.2" x14ac:dyDescent="0.25">
      <c r="A37" s="149" t="s">
        <v>154</v>
      </c>
      <c r="B37" s="156">
        <v>5780044</v>
      </c>
      <c r="C37" s="156"/>
      <c r="D37" s="153">
        <f t="shared" si="1"/>
        <v>1.9E-3</v>
      </c>
      <c r="E37" s="153"/>
      <c r="F37" s="164"/>
      <c r="G37" s="165"/>
      <c r="H37" s="166"/>
    </row>
    <row r="38" spans="1:8" ht="13.2" x14ac:dyDescent="0.25">
      <c r="A38" s="149" t="s">
        <v>163</v>
      </c>
      <c r="B38" s="156">
        <v>44834680</v>
      </c>
      <c r="C38" s="156"/>
      <c r="D38" s="153">
        <f t="shared" si="1"/>
        <v>1.4800000000000001E-2</v>
      </c>
      <c r="E38" s="153"/>
      <c r="F38" s="164"/>
      <c r="G38" s="165"/>
      <c r="H38" s="166"/>
    </row>
    <row r="39" spans="1:8" ht="13.2" x14ac:dyDescent="0.25">
      <c r="A39" s="149" t="s">
        <v>157</v>
      </c>
      <c r="B39" s="156">
        <v>2453671</v>
      </c>
      <c r="C39" s="156"/>
      <c r="D39" s="153">
        <f t="shared" si="1"/>
        <v>8.0000000000000004E-4</v>
      </c>
      <c r="E39" s="153"/>
      <c r="F39" s="164"/>
      <c r="G39" s="165"/>
      <c r="H39" s="166"/>
    </row>
    <row r="40" spans="1:8" ht="13.2" x14ac:dyDescent="0.25">
      <c r="A40" s="149" t="s">
        <v>104</v>
      </c>
      <c r="B40" s="156">
        <v>33617749</v>
      </c>
      <c r="C40" s="156"/>
      <c r="D40" s="153">
        <f>ROUND(B40/$B$42,4)</f>
        <v>1.11E-2</v>
      </c>
      <c r="E40" s="153"/>
      <c r="F40" s="164"/>
      <c r="G40" s="157"/>
      <c r="H40" s="166"/>
    </row>
    <row r="41" spans="1:8" ht="12" customHeight="1" thickBot="1" x14ac:dyDescent="0.3">
      <c r="A41" s="149"/>
      <c r="B41" s="156"/>
      <c r="C41" s="156"/>
      <c r="D41" s="153"/>
      <c r="E41" s="153"/>
      <c r="H41" s="166"/>
    </row>
    <row r="42" spans="1:8" ht="14.25" customHeight="1" thickTop="1" x14ac:dyDescent="0.25">
      <c r="A42" s="148" t="s">
        <v>216</v>
      </c>
      <c r="B42" s="158">
        <f>SUM(B24:B40)</f>
        <v>3030686071</v>
      </c>
      <c r="C42" s="167"/>
      <c r="D42" s="168">
        <f>SUM(D24:D40)</f>
        <v>1.0001</v>
      </c>
      <c r="F42" s="164"/>
    </row>
    <row r="43" spans="1:8" ht="15" customHeight="1" x14ac:dyDescent="0.25">
      <c r="A43" s="149" t="s">
        <v>158</v>
      </c>
      <c r="B43" s="162">
        <v>127934366</v>
      </c>
      <c r="C43" s="156"/>
      <c r="D43" s="153"/>
      <c r="E43" s="169"/>
      <c r="F43" s="154"/>
      <c r="G43" s="170"/>
      <c r="H43" s="166"/>
    </row>
    <row r="44" spans="1:8" ht="5.25" customHeight="1" x14ac:dyDescent="0.25">
      <c r="A44" s="149"/>
      <c r="B44" s="162"/>
      <c r="C44" s="156"/>
      <c r="D44" s="153"/>
    </row>
    <row r="45" spans="1:8" ht="12.75" customHeight="1" x14ac:dyDescent="0.25">
      <c r="A45" s="148" t="s">
        <v>215</v>
      </c>
      <c r="B45" s="151">
        <f>SUM(B42:B44)</f>
        <v>3158620437</v>
      </c>
      <c r="C45" s="149"/>
      <c r="D45" s="149"/>
    </row>
    <row r="46" spans="1:8" ht="5.25" customHeight="1" x14ac:dyDescent="0.25">
      <c r="A46" s="149"/>
      <c r="B46" s="162"/>
      <c r="C46" s="156"/>
      <c r="D46" s="153"/>
    </row>
    <row r="47" spans="1:8" ht="13.5" customHeight="1" x14ac:dyDescent="0.25">
      <c r="A47" s="149" t="s">
        <v>214</v>
      </c>
      <c r="B47" s="162">
        <v>87231401</v>
      </c>
      <c r="C47" s="149"/>
      <c r="D47" s="149"/>
    </row>
    <row r="48" spans="1:8" ht="13.8" thickBot="1" x14ac:dyDescent="0.3">
      <c r="A48" s="149"/>
      <c r="B48" s="149"/>
      <c r="C48" s="149"/>
      <c r="D48" s="149"/>
    </row>
    <row r="49" spans="1:4" ht="13.5" customHeight="1" thickTop="1" x14ac:dyDescent="0.25">
      <c r="A49" s="171" t="s">
        <v>213</v>
      </c>
      <c r="B49" s="172"/>
      <c r="C49" s="172"/>
      <c r="D49" s="172"/>
    </row>
    <row r="50" spans="1:4" ht="13.2" x14ac:dyDescent="0.25">
      <c r="A50" s="149"/>
      <c r="B50" s="149"/>
      <c r="C50" s="149"/>
      <c r="D50" s="149"/>
    </row>
    <row r="51" spans="1:4" ht="11.1" customHeight="1" x14ac:dyDescent="0.25">
      <c r="A51" s="148" t="s">
        <v>212</v>
      </c>
      <c r="B51" s="149"/>
      <c r="C51" s="149"/>
      <c r="D51" s="149"/>
    </row>
    <row r="52" spans="1:4" ht="13.2" x14ac:dyDescent="0.25">
      <c r="A52" s="149" t="s">
        <v>211</v>
      </c>
      <c r="B52" s="156">
        <v>101600246.33999999</v>
      </c>
      <c r="C52" s="149"/>
      <c r="D52" s="149"/>
    </row>
    <row r="53" spans="1:4" ht="13.2" x14ac:dyDescent="0.25">
      <c r="A53" s="149" t="s">
        <v>210</v>
      </c>
      <c r="B53" s="156">
        <v>338723.06000000006</v>
      </c>
      <c r="C53" s="149"/>
      <c r="D53" s="149"/>
    </row>
    <row r="54" spans="1:4" ht="13.2" x14ac:dyDescent="0.25">
      <c r="A54" s="149" t="s">
        <v>205</v>
      </c>
      <c r="B54" s="156">
        <v>36609729.750000007</v>
      </c>
      <c r="C54" s="149"/>
      <c r="D54" s="149"/>
    </row>
    <row r="55" spans="1:4" ht="13.8" thickBot="1" x14ac:dyDescent="0.3">
      <c r="A55" s="149" t="s">
        <v>209</v>
      </c>
      <c r="B55" s="156">
        <v>1627637</v>
      </c>
      <c r="C55" s="149"/>
      <c r="D55" s="149"/>
    </row>
    <row r="56" spans="1:4" ht="13.8" thickTop="1" x14ac:dyDescent="0.25">
      <c r="A56" s="148" t="s">
        <v>208</v>
      </c>
      <c r="B56" s="158">
        <f>SUM(B52:B55)</f>
        <v>140176336.15000001</v>
      </c>
      <c r="C56" s="149"/>
      <c r="D56" s="149"/>
    </row>
    <row r="57" spans="1:4" ht="15" customHeight="1" x14ac:dyDescent="0.25">
      <c r="A57" s="149"/>
      <c r="B57" s="149"/>
      <c r="C57" s="149"/>
      <c r="D57" s="149"/>
    </row>
    <row r="58" spans="1:4" ht="11.1" customHeight="1" x14ac:dyDescent="0.25">
      <c r="A58" s="148" t="s">
        <v>207</v>
      </c>
      <c r="B58" s="149"/>
      <c r="C58" s="149"/>
      <c r="D58" s="149"/>
    </row>
    <row r="59" spans="1:4" ht="13.2" x14ac:dyDescent="0.25">
      <c r="A59" s="149" t="s">
        <v>206</v>
      </c>
      <c r="B59" s="151">
        <v>105054747</v>
      </c>
      <c r="C59" s="149"/>
      <c r="D59" s="149"/>
    </row>
    <row r="60" spans="1:4" ht="13.8" thickBot="1" x14ac:dyDescent="0.3">
      <c r="A60" s="149" t="s">
        <v>205</v>
      </c>
      <c r="B60" s="156">
        <v>36609729.750000007</v>
      </c>
      <c r="C60" s="149"/>
      <c r="D60" s="149"/>
    </row>
    <row r="61" spans="1:4" ht="13.8" thickTop="1" x14ac:dyDescent="0.25">
      <c r="A61" s="148" t="s">
        <v>204</v>
      </c>
      <c r="B61" s="158">
        <f>SUM(B59:B60)</f>
        <v>141664476.75</v>
      </c>
      <c r="C61" s="149"/>
      <c r="D61" s="149"/>
    </row>
    <row r="62" spans="1:4" ht="15" customHeight="1" x14ac:dyDescent="0.25">
      <c r="A62" s="149"/>
      <c r="B62" s="149"/>
      <c r="C62" s="149"/>
      <c r="D62" s="149"/>
    </row>
    <row r="63" spans="1:4" ht="11.1" customHeight="1" x14ac:dyDescent="0.25">
      <c r="A63" s="149" t="s">
        <v>203</v>
      </c>
      <c r="B63" s="149"/>
      <c r="C63" s="149"/>
      <c r="D63" s="149"/>
    </row>
    <row r="64" spans="1:4" ht="13.2" x14ac:dyDescent="0.25">
      <c r="A64" s="149" t="s">
        <v>202</v>
      </c>
      <c r="B64" s="156"/>
      <c r="C64" s="149"/>
      <c r="D64" s="149"/>
    </row>
    <row r="65" spans="1:4" ht="13.2" x14ac:dyDescent="0.25">
      <c r="A65" s="149"/>
      <c r="B65" s="149"/>
      <c r="C65" s="149"/>
      <c r="D65" s="149"/>
    </row>
    <row r="66" spans="1:4" ht="12" customHeight="1" x14ac:dyDescent="0.25">
      <c r="A66" s="149" t="s">
        <v>201</v>
      </c>
      <c r="B66" s="149"/>
      <c r="C66" s="149"/>
      <c r="D66" s="149"/>
    </row>
    <row r="67" spans="1:4" ht="13.2" x14ac:dyDescent="0.25">
      <c r="A67" s="149" t="s">
        <v>261</v>
      </c>
      <c r="B67" s="149"/>
      <c r="C67" s="149"/>
      <c r="D67" s="149"/>
    </row>
    <row r="68" spans="1:4" ht="13.2" x14ac:dyDescent="0.25">
      <c r="A68" s="149"/>
      <c r="B68" s="149"/>
      <c r="C68" s="149"/>
      <c r="D68" s="149"/>
    </row>
  </sheetData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>&amp;RDecember 17,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68"/>
  <sheetViews>
    <sheetView topLeftCell="A31" workbookViewId="0">
      <selection activeCell="A61" sqref="A61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7" ht="13.2" x14ac:dyDescent="0.25">
      <c r="A1" s="213" t="s">
        <v>233</v>
      </c>
      <c r="B1" s="213"/>
      <c r="C1" s="213"/>
      <c r="D1" s="213"/>
    </row>
    <row r="2" spans="1:7" ht="13.2" x14ac:dyDescent="0.25">
      <c r="A2" s="213" t="s">
        <v>232</v>
      </c>
      <c r="B2" s="213"/>
      <c r="C2" s="213"/>
      <c r="D2" s="213"/>
    </row>
    <row r="3" spans="1:7" ht="13.2" x14ac:dyDescent="0.25">
      <c r="A3" s="213" t="s">
        <v>231</v>
      </c>
      <c r="B3" s="213"/>
      <c r="C3" s="213"/>
      <c r="D3" s="213"/>
    </row>
    <row r="4" spans="1:7" ht="13.2" x14ac:dyDescent="0.25">
      <c r="A4" s="213" t="s">
        <v>230</v>
      </c>
      <c r="B4" s="213"/>
      <c r="C4" s="213"/>
      <c r="D4" s="213"/>
    </row>
    <row r="5" spans="1:7" ht="9" customHeight="1" x14ac:dyDescent="0.25">
      <c r="A5" s="213"/>
      <c r="B5" s="213"/>
      <c r="C5" s="213"/>
      <c r="D5" s="213"/>
    </row>
    <row r="6" spans="1:7" ht="13.2" x14ac:dyDescent="0.25">
      <c r="A6" s="213" t="s">
        <v>229</v>
      </c>
      <c r="B6" s="213"/>
      <c r="C6" s="213"/>
      <c r="D6" s="213"/>
    </row>
    <row r="7" spans="1:7" ht="13.2" x14ac:dyDescent="0.25">
      <c r="A7" s="212" t="s">
        <v>197</v>
      </c>
      <c r="B7" s="212"/>
      <c r="C7" s="212"/>
      <c r="D7" s="212"/>
    </row>
    <row r="8" spans="1:7" ht="9.75" customHeight="1" x14ac:dyDescent="0.25">
      <c r="A8" s="94"/>
      <c r="B8" s="94"/>
      <c r="C8" s="94"/>
      <c r="D8" s="94"/>
    </row>
    <row r="9" spans="1:7" ht="13.2" x14ac:dyDescent="0.25">
      <c r="A9" s="72" t="s">
        <v>228</v>
      </c>
      <c r="B9" s="69"/>
      <c r="C9" s="69"/>
      <c r="D9" s="93" t="s">
        <v>227</v>
      </c>
    </row>
    <row r="10" spans="1:7" ht="8.1" customHeight="1" x14ac:dyDescent="0.25">
      <c r="A10" s="69"/>
      <c r="B10" s="69"/>
      <c r="C10" s="69"/>
      <c r="D10" s="69"/>
    </row>
    <row r="11" spans="1:7" ht="13.2" x14ac:dyDescent="0.25">
      <c r="A11" s="69" t="s">
        <v>136</v>
      </c>
      <c r="B11" s="73">
        <v>1859885529</v>
      </c>
      <c r="C11" s="87"/>
      <c r="D11" s="77">
        <f t="shared" ref="D11:D16" si="0">ROUND(B11/$B$17,3)</f>
        <v>0.60099999999999998</v>
      </c>
      <c r="E11" s="80"/>
      <c r="F11" s="92"/>
    </row>
    <row r="12" spans="1:7" ht="13.2" x14ac:dyDescent="0.25">
      <c r="A12" s="69" t="s">
        <v>226</v>
      </c>
      <c r="B12" s="70">
        <v>55285537</v>
      </c>
      <c r="C12" s="70"/>
      <c r="D12" s="77">
        <f t="shared" si="0"/>
        <v>1.7999999999999999E-2</v>
      </c>
      <c r="F12" s="92"/>
    </row>
    <row r="13" spans="1:7" ht="13.2" x14ac:dyDescent="0.25">
      <c r="A13" s="69" t="s">
        <v>225</v>
      </c>
      <c r="B13" s="70">
        <v>926491022</v>
      </c>
      <c r="C13" s="70"/>
      <c r="D13" s="77">
        <f t="shared" si="0"/>
        <v>0.29899999999999999</v>
      </c>
      <c r="E13" s="80"/>
      <c r="F13" s="92"/>
      <c r="G13" s="84"/>
    </row>
    <row r="14" spans="1:7" ht="13.2" x14ac:dyDescent="0.25">
      <c r="A14" s="69" t="s">
        <v>138</v>
      </c>
      <c r="B14" s="70">
        <v>80818756</v>
      </c>
      <c r="C14" s="70"/>
      <c r="D14" s="77">
        <f t="shared" si="0"/>
        <v>2.5999999999999999E-2</v>
      </c>
      <c r="F14" s="92"/>
    </row>
    <row r="15" spans="1:7" ht="13.2" x14ac:dyDescent="0.25">
      <c r="A15" s="69" t="s">
        <v>139</v>
      </c>
      <c r="B15" s="70">
        <v>173816060</v>
      </c>
      <c r="C15" s="70"/>
      <c r="D15" s="77">
        <f t="shared" si="0"/>
        <v>5.6000000000000001E-2</v>
      </c>
      <c r="F15" s="92"/>
    </row>
    <row r="16" spans="1:7" ht="13.8" thickBot="1" x14ac:dyDescent="0.3">
      <c r="A16" s="69" t="s">
        <v>224</v>
      </c>
      <c r="B16" s="70">
        <v>77644</v>
      </c>
      <c r="C16" s="70"/>
      <c r="D16" s="77">
        <f t="shared" si="0"/>
        <v>0</v>
      </c>
      <c r="F16" s="92"/>
    </row>
    <row r="17" spans="1:8" ht="13.8" thickTop="1" x14ac:dyDescent="0.25">
      <c r="A17" s="72" t="s">
        <v>223</v>
      </c>
      <c r="B17" s="71">
        <f>SUM(B11:B16)</f>
        <v>3096374548</v>
      </c>
      <c r="C17" s="91">
        <f>SUM(C11:C16)</f>
        <v>0</v>
      </c>
      <c r="D17" s="77">
        <f>SUM(D11:D16)</f>
        <v>1</v>
      </c>
      <c r="F17" s="90"/>
      <c r="G17" s="84"/>
    </row>
    <row r="18" spans="1:8" ht="15" customHeight="1" x14ac:dyDescent="0.25">
      <c r="A18" s="72"/>
      <c r="B18" s="70"/>
      <c r="C18" s="70"/>
      <c r="F18" s="89"/>
    </row>
    <row r="19" spans="1:8" ht="13.5" customHeight="1" x14ac:dyDescent="0.25">
      <c r="A19" s="69" t="s">
        <v>222</v>
      </c>
      <c r="B19" s="76">
        <v>65316584</v>
      </c>
      <c r="C19" s="69"/>
      <c r="D19" s="69"/>
    </row>
    <row r="20" spans="1:8" ht="13.2" x14ac:dyDescent="0.25">
      <c r="A20" s="69"/>
      <c r="B20" s="88"/>
      <c r="C20" s="88"/>
      <c r="D20" s="88"/>
    </row>
    <row r="21" spans="1:8" ht="6.75" customHeight="1" x14ac:dyDescent="0.25">
      <c r="A21" s="69"/>
      <c r="B21" s="69"/>
      <c r="C21" s="69"/>
      <c r="D21" s="69"/>
    </row>
    <row r="22" spans="1:8" ht="11.1" customHeight="1" x14ac:dyDescent="0.25">
      <c r="A22" s="72" t="s">
        <v>221</v>
      </c>
      <c r="B22" s="69"/>
      <c r="C22" s="69"/>
      <c r="D22" s="69"/>
    </row>
    <row r="23" spans="1:8" ht="13.2" x14ac:dyDescent="0.25">
      <c r="A23" s="69"/>
      <c r="B23" s="69"/>
      <c r="C23" s="69"/>
      <c r="D23" s="69"/>
    </row>
    <row r="24" spans="1:8" ht="11.1" customHeight="1" x14ac:dyDescent="0.25">
      <c r="A24" s="69" t="s">
        <v>220</v>
      </c>
      <c r="B24" s="73">
        <v>1199964323</v>
      </c>
      <c r="C24" s="70"/>
      <c r="D24" s="77">
        <f>ROUND(B24/$B$42,4)</f>
        <v>0.40749999999999997</v>
      </c>
      <c r="F24" s="85"/>
    </row>
    <row r="25" spans="1:8" ht="13.2" x14ac:dyDescent="0.25">
      <c r="A25" s="69" t="s">
        <v>219</v>
      </c>
      <c r="B25" s="70">
        <v>566549771</v>
      </c>
      <c r="C25" s="70"/>
      <c r="D25" s="77">
        <f>ROUND(B25/$B$42,4)</f>
        <v>0.19239999999999999</v>
      </c>
      <c r="E25" s="77"/>
      <c r="F25" s="85"/>
      <c r="G25" s="86"/>
      <c r="H25" s="78"/>
    </row>
    <row r="26" spans="1:8" ht="13.2" x14ac:dyDescent="0.25">
      <c r="A26" s="69" t="s">
        <v>218</v>
      </c>
      <c r="B26" s="70">
        <v>39306678</v>
      </c>
      <c r="C26" s="70"/>
      <c r="D26" s="77">
        <f>ROUND(B26/$B$42,4)</f>
        <v>1.3299999999999999E-2</v>
      </c>
      <c r="E26" s="77"/>
      <c r="F26" s="85"/>
      <c r="G26" s="86"/>
      <c r="H26" s="78"/>
    </row>
    <row r="27" spans="1:8" ht="13.2" x14ac:dyDescent="0.25">
      <c r="A27" s="69" t="s">
        <v>147</v>
      </c>
      <c r="B27" s="70">
        <v>48653918</v>
      </c>
      <c r="C27" s="70"/>
      <c r="D27" s="77">
        <f>ROUND(B27/$B$42,4)</f>
        <v>1.6500000000000001E-2</v>
      </c>
      <c r="E27" s="77"/>
      <c r="F27" s="85"/>
      <c r="G27" s="86"/>
      <c r="H27" s="78"/>
    </row>
    <row r="28" spans="1:8" ht="13.2" x14ac:dyDescent="0.25">
      <c r="A28" s="69"/>
      <c r="B28" s="87"/>
      <c r="C28" s="70"/>
      <c r="D28" s="77"/>
      <c r="E28" s="77"/>
      <c r="G28" s="84"/>
      <c r="H28" s="78"/>
    </row>
    <row r="29" spans="1:8" ht="11.1" customHeight="1" x14ac:dyDescent="0.25">
      <c r="A29" s="69" t="s">
        <v>148</v>
      </c>
      <c r="B29" s="70">
        <v>222533410</v>
      </c>
      <c r="C29" s="70"/>
      <c r="D29" s="77">
        <f t="shared" ref="D29:D40" si="1">ROUND(B29/$B$42,4)</f>
        <v>7.5600000000000001E-2</v>
      </c>
      <c r="E29" s="77"/>
      <c r="F29" s="85"/>
      <c r="G29" s="86"/>
      <c r="H29" s="78"/>
    </row>
    <row r="30" spans="1:8" ht="13.2" x14ac:dyDescent="0.25">
      <c r="A30" s="69" t="s">
        <v>149</v>
      </c>
      <c r="B30" s="70">
        <v>105349693</v>
      </c>
      <c r="C30" s="70"/>
      <c r="D30" s="77">
        <f t="shared" si="1"/>
        <v>3.5799999999999998E-2</v>
      </c>
      <c r="E30" s="77"/>
      <c r="F30" s="85"/>
      <c r="G30" s="86"/>
      <c r="H30" s="78"/>
    </row>
    <row r="31" spans="1:8" ht="13.2" x14ac:dyDescent="0.25">
      <c r="A31" s="69" t="s">
        <v>217</v>
      </c>
      <c r="B31" s="70">
        <v>126818929</v>
      </c>
      <c r="C31" s="70"/>
      <c r="D31" s="77">
        <f t="shared" si="1"/>
        <v>4.3099999999999999E-2</v>
      </c>
      <c r="E31" s="77"/>
      <c r="F31" s="85"/>
      <c r="G31" s="86"/>
      <c r="H31" s="78"/>
    </row>
    <row r="32" spans="1:8" ht="13.2" x14ac:dyDescent="0.25">
      <c r="A32" s="69" t="s">
        <v>151</v>
      </c>
      <c r="B32" s="70">
        <v>161566524</v>
      </c>
      <c r="C32" s="70"/>
      <c r="D32" s="77">
        <f t="shared" si="1"/>
        <v>5.4899999999999997E-2</v>
      </c>
      <c r="E32" s="77"/>
      <c r="F32" s="85"/>
      <c r="G32" s="86"/>
      <c r="H32" s="78"/>
    </row>
    <row r="33" spans="1:8" ht="13.2" x14ac:dyDescent="0.25">
      <c r="A33" s="69" t="s">
        <v>99</v>
      </c>
      <c r="B33" s="70">
        <v>18601970</v>
      </c>
      <c r="C33" s="70"/>
      <c r="D33" s="77">
        <f t="shared" si="1"/>
        <v>6.3E-3</v>
      </c>
      <c r="E33" s="77"/>
      <c r="F33" s="85"/>
      <c r="G33" s="86"/>
      <c r="H33" s="78"/>
    </row>
    <row r="34" spans="1:8" ht="13.2" x14ac:dyDescent="0.25">
      <c r="A34" s="69" t="s">
        <v>152</v>
      </c>
      <c r="B34" s="70">
        <v>237987563</v>
      </c>
      <c r="C34" s="70"/>
      <c r="D34" s="77">
        <f t="shared" si="1"/>
        <v>8.0799999999999997E-2</v>
      </c>
      <c r="E34" s="77"/>
      <c r="F34" s="85"/>
      <c r="G34" s="86"/>
      <c r="H34" s="78"/>
    </row>
    <row r="35" spans="1:8" ht="13.2" x14ac:dyDescent="0.25">
      <c r="A35" s="69" t="s">
        <v>103</v>
      </c>
      <c r="B35" s="70">
        <v>128816686</v>
      </c>
      <c r="C35" s="70"/>
      <c r="D35" s="77">
        <f t="shared" si="1"/>
        <v>4.3700000000000003E-2</v>
      </c>
      <c r="E35" s="77"/>
      <c r="F35" s="85"/>
      <c r="G35" s="86"/>
      <c r="H35" s="78"/>
    </row>
    <row r="36" spans="1:8" ht="13.2" x14ac:dyDescent="0.25">
      <c r="A36" s="69" t="s">
        <v>153</v>
      </c>
      <c r="B36" s="70">
        <v>454419</v>
      </c>
      <c r="C36" s="70"/>
      <c r="D36" s="77">
        <f t="shared" si="1"/>
        <v>2.0000000000000001E-4</v>
      </c>
      <c r="E36" s="77"/>
      <c r="F36" s="85"/>
      <c r="G36" s="86"/>
      <c r="H36" s="78"/>
    </row>
    <row r="37" spans="1:8" ht="13.2" x14ac:dyDescent="0.25">
      <c r="A37" s="69" t="s">
        <v>154</v>
      </c>
      <c r="B37" s="70">
        <v>6222108</v>
      </c>
      <c r="C37" s="70"/>
      <c r="D37" s="77">
        <f t="shared" si="1"/>
        <v>2.0999999999999999E-3</v>
      </c>
      <c r="E37" s="77"/>
      <c r="F37" s="85"/>
      <c r="G37" s="86"/>
      <c r="H37" s="78"/>
    </row>
    <row r="38" spans="1:8" ht="13.2" x14ac:dyDescent="0.25">
      <c r="A38" s="69" t="s">
        <v>163</v>
      </c>
      <c r="B38" s="70">
        <v>45629499</v>
      </c>
      <c r="C38" s="70"/>
      <c r="D38" s="77">
        <f t="shared" si="1"/>
        <v>1.55E-2</v>
      </c>
      <c r="E38" s="77"/>
      <c r="F38" s="85"/>
      <c r="G38" s="86"/>
      <c r="H38" s="78"/>
    </row>
    <row r="39" spans="1:8" ht="13.2" x14ac:dyDescent="0.25">
      <c r="A39" s="69" t="s">
        <v>157</v>
      </c>
      <c r="B39" s="70">
        <v>2636468</v>
      </c>
      <c r="C39" s="70"/>
      <c r="D39" s="77">
        <f t="shared" si="1"/>
        <v>8.9999999999999998E-4</v>
      </c>
      <c r="E39" s="77"/>
      <c r="F39" s="85"/>
      <c r="G39" s="86"/>
      <c r="H39" s="78"/>
    </row>
    <row r="40" spans="1:8" ht="13.2" x14ac:dyDescent="0.25">
      <c r="A40" s="69" t="s">
        <v>104</v>
      </c>
      <c r="B40" s="70">
        <v>33860801</v>
      </c>
      <c r="C40" s="70"/>
      <c r="D40" s="77">
        <f t="shared" si="1"/>
        <v>1.15E-2</v>
      </c>
      <c r="E40" s="77"/>
      <c r="F40" s="85"/>
      <c r="G40" s="84"/>
      <c r="H40" s="78"/>
    </row>
    <row r="41" spans="1:8" ht="12" customHeight="1" thickBot="1" x14ac:dyDescent="0.3">
      <c r="A41" s="69"/>
      <c r="B41" s="70"/>
      <c r="C41" s="70"/>
      <c r="D41" s="77"/>
      <c r="E41" s="77"/>
      <c r="H41" s="78"/>
    </row>
    <row r="42" spans="1:8" ht="14.25" customHeight="1" thickTop="1" x14ac:dyDescent="0.25">
      <c r="A42" s="72" t="s">
        <v>216</v>
      </c>
      <c r="B42" s="71">
        <f>SUM(B24:B40)</f>
        <v>2944952760</v>
      </c>
      <c r="C42" s="83"/>
      <c r="D42" s="82">
        <f>SUM(D24:D40)</f>
        <v>1.0000999999999998</v>
      </c>
    </row>
    <row r="43" spans="1:8" ht="15" customHeight="1" x14ac:dyDescent="0.25">
      <c r="A43" s="69" t="s">
        <v>158</v>
      </c>
      <c r="B43" s="76">
        <v>104341482</v>
      </c>
      <c r="C43" s="70"/>
      <c r="D43" s="77"/>
      <c r="E43" s="81"/>
      <c r="F43" s="80"/>
      <c r="G43" s="79"/>
      <c r="H43" s="78"/>
    </row>
    <row r="44" spans="1:8" ht="5.25" customHeight="1" x14ac:dyDescent="0.25">
      <c r="A44" s="69"/>
      <c r="B44" s="76"/>
      <c r="C44" s="70"/>
      <c r="D44" s="77"/>
    </row>
    <row r="45" spans="1:8" ht="12.75" customHeight="1" x14ac:dyDescent="0.25">
      <c r="A45" s="72" t="s">
        <v>215</v>
      </c>
      <c r="B45" s="73">
        <f>SUM(B42:B44)</f>
        <v>3049294242</v>
      </c>
      <c r="C45" s="69"/>
      <c r="D45" s="69"/>
    </row>
    <row r="46" spans="1:8" ht="5.25" customHeight="1" x14ac:dyDescent="0.25">
      <c r="A46" s="69"/>
      <c r="B46" s="76"/>
      <c r="C46" s="70"/>
      <c r="D46" s="77"/>
    </row>
    <row r="47" spans="1:8" ht="13.5" customHeight="1" x14ac:dyDescent="0.25">
      <c r="A47" s="69" t="s">
        <v>214</v>
      </c>
      <c r="B47" s="76">
        <v>87756967</v>
      </c>
      <c r="C47" s="69"/>
      <c r="D47" s="69"/>
    </row>
    <row r="48" spans="1:8" ht="13.8" thickBot="1" x14ac:dyDescent="0.3">
      <c r="A48" s="69"/>
      <c r="B48" s="69"/>
      <c r="C48" s="69"/>
      <c r="D48" s="69"/>
    </row>
    <row r="49" spans="1:4" ht="13.5" customHeight="1" thickTop="1" x14ac:dyDescent="0.25">
      <c r="A49" s="75" t="s">
        <v>213</v>
      </c>
      <c r="B49" s="74"/>
      <c r="C49" s="74"/>
      <c r="D49" s="74"/>
    </row>
    <row r="50" spans="1:4" ht="13.2" x14ac:dyDescent="0.25">
      <c r="A50" s="69"/>
      <c r="B50" s="69"/>
      <c r="C50" s="69"/>
      <c r="D50" s="69"/>
    </row>
    <row r="51" spans="1:4" ht="11.1" customHeight="1" x14ac:dyDescent="0.25">
      <c r="A51" s="72" t="s">
        <v>212</v>
      </c>
      <c r="B51" s="69"/>
      <c r="C51" s="69"/>
      <c r="D51" s="69"/>
    </row>
    <row r="52" spans="1:4" ht="13.2" x14ac:dyDescent="0.25">
      <c r="A52" s="69" t="s">
        <v>211</v>
      </c>
      <c r="B52" s="70">
        <v>98511241.370000005</v>
      </c>
      <c r="C52" s="69"/>
      <c r="D52" s="69"/>
    </row>
    <row r="53" spans="1:4" ht="13.2" x14ac:dyDescent="0.25">
      <c r="A53" s="69" t="s">
        <v>210</v>
      </c>
      <c r="B53" s="70">
        <v>381687.98</v>
      </c>
      <c r="C53" s="69"/>
      <c r="D53" s="69"/>
    </row>
    <row r="54" spans="1:4" ht="13.2" x14ac:dyDescent="0.25">
      <c r="A54" s="69" t="s">
        <v>205</v>
      </c>
      <c r="B54" s="70">
        <v>36229682.790000007</v>
      </c>
      <c r="C54" s="69"/>
      <c r="D54" s="69"/>
    </row>
    <row r="55" spans="1:4" ht="13.8" thickBot="1" x14ac:dyDescent="0.3">
      <c r="A55" s="69" t="s">
        <v>209</v>
      </c>
      <c r="B55" s="70">
        <v>1620639</v>
      </c>
      <c r="C55" s="69"/>
      <c r="D55" s="69"/>
    </row>
    <row r="56" spans="1:4" ht="13.8" thickTop="1" x14ac:dyDescent="0.25">
      <c r="A56" s="72" t="s">
        <v>208</v>
      </c>
      <c r="B56" s="71">
        <f>SUM(B52:B55)</f>
        <v>136743251.14000002</v>
      </c>
      <c r="C56" s="69"/>
      <c r="D56" s="69"/>
    </row>
    <row r="57" spans="1:4" ht="15" customHeight="1" x14ac:dyDescent="0.25">
      <c r="A57" s="69"/>
      <c r="B57" s="69"/>
      <c r="C57" s="69"/>
      <c r="D57" s="69"/>
    </row>
    <row r="58" spans="1:4" ht="11.1" customHeight="1" x14ac:dyDescent="0.25">
      <c r="A58" s="72" t="s">
        <v>207</v>
      </c>
      <c r="B58" s="69"/>
      <c r="C58" s="69"/>
      <c r="D58" s="69"/>
    </row>
    <row r="59" spans="1:4" ht="13.2" x14ac:dyDescent="0.25">
      <c r="A59" s="69" t="s">
        <v>206</v>
      </c>
      <c r="B59" s="73">
        <v>104166493</v>
      </c>
      <c r="C59" s="69"/>
      <c r="D59" s="69"/>
    </row>
    <row r="60" spans="1:4" ht="13.8" thickBot="1" x14ac:dyDescent="0.3">
      <c r="A60" s="69" t="s">
        <v>205</v>
      </c>
      <c r="B60" s="70">
        <v>36229682.790000007</v>
      </c>
      <c r="C60" s="69"/>
      <c r="D60" s="69"/>
    </row>
    <row r="61" spans="1:4" ht="13.8" thickTop="1" x14ac:dyDescent="0.25">
      <c r="A61" s="72" t="s">
        <v>204</v>
      </c>
      <c r="B61" s="71">
        <f>SUM(B59:B60)</f>
        <v>140396175.79000002</v>
      </c>
      <c r="C61" s="69"/>
      <c r="D61" s="69"/>
    </row>
    <row r="62" spans="1:4" ht="15" customHeight="1" x14ac:dyDescent="0.25">
      <c r="A62" s="69"/>
      <c r="B62" s="69"/>
      <c r="C62" s="69"/>
      <c r="D62" s="69"/>
    </row>
    <row r="63" spans="1:4" ht="11.1" customHeight="1" x14ac:dyDescent="0.25">
      <c r="A63" s="69" t="s">
        <v>203</v>
      </c>
      <c r="B63" s="69"/>
      <c r="C63" s="69"/>
      <c r="D63" s="69"/>
    </row>
    <row r="64" spans="1:4" ht="13.2" x14ac:dyDescent="0.25">
      <c r="A64" s="69" t="s">
        <v>202</v>
      </c>
      <c r="B64" s="70"/>
      <c r="C64" s="69"/>
      <c r="D64" s="69"/>
    </row>
    <row r="65" spans="1:4" ht="13.2" x14ac:dyDescent="0.25">
      <c r="A65" s="69"/>
      <c r="B65" s="69"/>
      <c r="C65" s="69"/>
      <c r="D65" s="69"/>
    </row>
    <row r="66" spans="1:4" ht="12" customHeight="1" x14ac:dyDescent="0.25">
      <c r="A66" s="69" t="s">
        <v>201</v>
      </c>
      <c r="B66" s="69"/>
      <c r="C66" s="69"/>
      <c r="D66" s="69"/>
    </row>
    <row r="67" spans="1:4" ht="13.2" x14ac:dyDescent="0.25">
      <c r="A67" s="69" t="s">
        <v>200</v>
      </c>
      <c r="B67" s="69"/>
      <c r="C67" s="69"/>
      <c r="D67" s="69"/>
    </row>
    <row r="68" spans="1:4" ht="13.2" x14ac:dyDescent="0.25">
      <c r="A68" s="69"/>
      <c r="B68" s="69"/>
      <c r="C68" s="69"/>
      <c r="D68" s="69"/>
    </row>
  </sheetData>
  <sheetProtection sheet="1" objects="1" scenarios="1"/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>&amp;RDecember 7,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8"/>
  <sheetViews>
    <sheetView workbookViewId="0">
      <selection activeCell="A11" sqref="A11:A19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7" ht="13.2" x14ac:dyDescent="0.25">
      <c r="A1" s="213" t="s">
        <v>233</v>
      </c>
      <c r="B1" s="213"/>
      <c r="C1" s="213"/>
      <c r="D1" s="213"/>
    </row>
    <row r="2" spans="1:7" ht="13.2" x14ac:dyDescent="0.25">
      <c r="A2" s="213" t="s">
        <v>232</v>
      </c>
      <c r="B2" s="213"/>
      <c r="C2" s="213"/>
      <c r="D2" s="213"/>
    </row>
    <row r="3" spans="1:7" ht="13.2" x14ac:dyDescent="0.25">
      <c r="A3" s="213" t="s">
        <v>231</v>
      </c>
      <c r="B3" s="213"/>
      <c r="C3" s="213"/>
      <c r="D3" s="213"/>
    </row>
    <row r="4" spans="1:7" ht="13.2" x14ac:dyDescent="0.25">
      <c r="A4" s="213" t="s">
        <v>230</v>
      </c>
      <c r="B4" s="213"/>
      <c r="C4" s="213"/>
      <c r="D4" s="213"/>
    </row>
    <row r="5" spans="1:7" ht="9" customHeight="1" x14ac:dyDescent="0.25">
      <c r="A5" s="213"/>
      <c r="B5" s="213"/>
      <c r="C5" s="213"/>
      <c r="D5" s="213"/>
    </row>
    <row r="6" spans="1:7" ht="13.2" x14ac:dyDescent="0.25">
      <c r="A6" s="213" t="s">
        <v>229</v>
      </c>
      <c r="B6" s="213"/>
      <c r="C6" s="213"/>
      <c r="D6" s="213"/>
    </row>
    <row r="7" spans="1:7" ht="13.2" x14ac:dyDescent="0.25">
      <c r="A7" s="212" t="s">
        <v>196</v>
      </c>
      <c r="B7" s="212"/>
      <c r="C7" s="212"/>
      <c r="D7" s="212"/>
    </row>
    <row r="8" spans="1:7" ht="9.75" customHeight="1" x14ac:dyDescent="0.25">
      <c r="A8" s="94"/>
      <c r="B8" s="94"/>
      <c r="C8" s="94"/>
      <c r="D8" s="94"/>
    </row>
    <row r="9" spans="1:7" ht="13.2" x14ac:dyDescent="0.25">
      <c r="A9" s="72" t="s">
        <v>228</v>
      </c>
      <c r="B9" s="69"/>
      <c r="C9" s="69"/>
      <c r="D9" s="93" t="s">
        <v>227</v>
      </c>
    </row>
    <row r="10" spans="1:7" ht="8.1" customHeight="1" x14ac:dyDescent="0.25">
      <c r="A10" s="69"/>
      <c r="B10" s="69"/>
      <c r="C10" s="69"/>
      <c r="D10" s="69"/>
    </row>
    <row r="11" spans="1:7" ht="13.2" x14ac:dyDescent="0.25">
      <c r="A11" s="69" t="s">
        <v>136</v>
      </c>
      <c r="B11" s="73">
        <v>1789047812</v>
      </c>
      <c r="C11" s="87"/>
      <c r="D11" s="77">
        <f t="shared" ref="D11:D16" si="0">ROUND(B11/$B$17,3)</f>
        <v>0.58799999999999997</v>
      </c>
      <c r="E11" s="80"/>
      <c r="F11" s="92"/>
    </row>
    <row r="12" spans="1:7" ht="13.2" x14ac:dyDescent="0.25">
      <c r="A12" s="69" t="s">
        <v>226</v>
      </c>
      <c r="B12" s="70">
        <v>52188498</v>
      </c>
      <c r="C12" s="70"/>
      <c r="D12" s="77">
        <f t="shared" si="0"/>
        <v>1.7000000000000001E-2</v>
      </c>
      <c r="F12" s="92"/>
    </row>
    <row r="13" spans="1:7" ht="13.2" x14ac:dyDescent="0.25">
      <c r="A13" s="69" t="s">
        <v>225</v>
      </c>
      <c r="B13" s="70">
        <v>932368455</v>
      </c>
      <c r="C13" s="70"/>
      <c r="D13" s="77">
        <f t="shared" si="0"/>
        <v>0.307</v>
      </c>
      <c r="E13" s="80"/>
      <c r="F13" s="92"/>
      <c r="G13" s="84"/>
    </row>
    <row r="14" spans="1:7" ht="13.2" x14ac:dyDescent="0.25">
      <c r="A14" s="69" t="s">
        <v>138</v>
      </c>
      <c r="B14" s="70">
        <v>72779290</v>
      </c>
      <c r="C14" s="70"/>
      <c r="D14" s="77">
        <f t="shared" si="0"/>
        <v>2.4E-2</v>
      </c>
      <c r="F14" s="92"/>
    </row>
    <row r="15" spans="1:7" ht="13.2" x14ac:dyDescent="0.25">
      <c r="A15" s="69" t="s">
        <v>139</v>
      </c>
      <c r="B15" s="70">
        <v>173966151</v>
      </c>
      <c r="C15" s="70"/>
      <c r="D15" s="77">
        <f t="shared" si="0"/>
        <v>5.7000000000000002E-2</v>
      </c>
      <c r="F15" s="92"/>
    </row>
    <row r="16" spans="1:7" ht="13.8" thickBot="1" x14ac:dyDescent="0.3">
      <c r="A16" s="69" t="s">
        <v>224</v>
      </c>
      <c r="B16" s="70">
        <v>20369562</v>
      </c>
      <c r="C16" s="70"/>
      <c r="D16" s="77">
        <f t="shared" si="0"/>
        <v>7.0000000000000001E-3</v>
      </c>
      <c r="F16" s="92"/>
    </row>
    <row r="17" spans="1:8" ht="13.8" thickTop="1" x14ac:dyDescent="0.25">
      <c r="A17" s="72" t="s">
        <v>223</v>
      </c>
      <c r="B17" s="71">
        <f>SUM(B11:B16)</f>
        <v>3040719768</v>
      </c>
      <c r="C17" s="91">
        <f>SUM(C11:C16)</f>
        <v>0</v>
      </c>
      <c r="D17" s="77">
        <f>SUM(D11:D16)</f>
        <v>1</v>
      </c>
      <c r="F17" s="90"/>
      <c r="G17" s="84"/>
    </row>
    <row r="18" spans="1:8" ht="15" customHeight="1" x14ac:dyDescent="0.25">
      <c r="A18" s="72"/>
      <c r="B18" s="70"/>
      <c r="C18" s="70"/>
      <c r="F18" s="89"/>
    </row>
    <row r="19" spans="1:8" ht="13.5" customHeight="1" x14ac:dyDescent="0.25">
      <c r="A19" s="69" t="s">
        <v>222</v>
      </c>
      <c r="B19" s="76">
        <v>40715816</v>
      </c>
      <c r="C19" s="69"/>
      <c r="D19" s="69"/>
    </row>
    <row r="20" spans="1:8" ht="13.2" x14ac:dyDescent="0.25">
      <c r="A20" s="69"/>
      <c r="B20" s="88"/>
      <c r="C20" s="88"/>
      <c r="D20" s="88"/>
    </row>
    <row r="21" spans="1:8" ht="6.75" customHeight="1" x14ac:dyDescent="0.25">
      <c r="A21" s="69"/>
      <c r="B21" s="69"/>
      <c r="C21" s="69"/>
      <c r="D21" s="69"/>
    </row>
    <row r="22" spans="1:8" ht="11.1" customHeight="1" x14ac:dyDescent="0.25">
      <c r="A22" s="72" t="s">
        <v>221</v>
      </c>
      <c r="B22" s="69"/>
      <c r="C22" s="69"/>
      <c r="D22" s="69"/>
    </row>
    <row r="23" spans="1:8" ht="13.2" x14ac:dyDescent="0.25">
      <c r="A23" s="69"/>
      <c r="B23" s="69"/>
      <c r="C23" s="69"/>
      <c r="D23" s="69"/>
    </row>
    <row r="24" spans="1:8" ht="11.1" customHeight="1" x14ac:dyDescent="0.25">
      <c r="A24" s="69" t="s">
        <v>220</v>
      </c>
      <c r="B24" s="73">
        <v>1179359771</v>
      </c>
      <c r="C24" s="70"/>
      <c r="D24" s="77">
        <f>ROUND(B24/$B$42,4)</f>
        <v>0.40870000000000001</v>
      </c>
      <c r="F24" s="85"/>
    </row>
    <row r="25" spans="1:8" ht="13.2" x14ac:dyDescent="0.25">
      <c r="A25" s="69" t="s">
        <v>219</v>
      </c>
      <c r="B25" s="70">
        <v>552956963</v>
      </c>
      <c r="C25" s="70"/>
      <c r="D25" s="77">
        <f>ROUND(B25/$B$42,4)</f>
        <v>0.19159999999999999</v>
      </c>
      <c r="E25" s="77"/>
      <c r="F25" s="85"/>
      <c r="G25" s="86"/>
      <c r="H25" s="78"/>
    </row>
    <row r="26" spans="1:8" ht="13.2" x14ac:dyDescent="0.25">
      <c r="A26" s="69" t="s">
        <v>218</v>
      </c>
      <c r="B26" s="70">
        <v>40355315</v>
      </c>
      <c r="C26" s="70"/>
      <c r="D26" s="77">
        <f>ROUND(B26/$B$42,4)</f>
        <v>1.4E-2</v>
      </c>
      <c r="E26" s="77"/>
      <c r="F26" s="85"/>
      <c r="G26" s="86"/>
      <c r="H26" s="78"/>
    </row>
    <row r="27" spans="1:8" ht="13.2" x14ac:dyDescent="0.25">
      <c r="A27" s="69" t="s">
        <v>147</v>
      </c>
      <c r="B27" s="70">
        <v>48084976</v>
      </c>
      <c r="C27" s="70"/>
      <c r="D27" s="77">
        <f>ROUND(B27/$B$42,4)</f>
        <v>1.67E-2</v>
      </c>
      <c r="E27" s="77"/>
      <c r="F27" s="85"/>
      <c r="G27" s="86"/>
      <c r="H27" s="78"/>
    </row>
    <row r="28" spans="1:8" ht="13.2" x14ac:dyDescent="0.25">
      <c r="A28" s="69"/>
      <c r="B28" s="87"/>
      <c r="C28" s="70"/>
      <c r="D28" s="77"/>
      <c r="E28" s="77"/>
      <c r="G28" s="84"/>
      <c r="H28" s="78"/>
    </row>
    <row r="29" spans="1:8" ht="11.1" customHeight="1" x14ac:dyDescent="0.25">
      <c r="A29" s="69" t="s">
        <v>148</v>
      </c>
      <c r="B29" s="70">
        <v>218592854</v>
      </c>
      <c r="C29" s="70"/>
      <c r="D29" s="77">
        <f t="shared" ref="D29:D40" si="1">ROUND(B29/$B$42,4)</f>
        <v>7.5700000000000003E-2</v>
      </c>
      <c r="E29" s="77"/>
      <c r="F29" s="85"/>
      <c r="G29" s="86"/>
      <c r="H29" s="78"/>
    </row>
    <row r="30" spans="1:8" ht="13.2" x14ac:dyDescent="0.25">
      <c r="A30" s="69" t="s">
        <v>149</v>
      </c>
      <c r="B30" s="70">
        <v>101635906</v>
      </c>
      <c r="C30" s="70"/>
      <c r="D30" s="77">
        <f t="shared" si="1"/>
        <v>3.5200000000000002E-2</v>
      </c>
      <c r="E30" s="77"/>
      <c r="F30" s="85"/>
      <c r="G30" s="86"/>
      <c r="H30" s="78"/>
    </row>
    <row r="31" spans="1:8" ht="13.2" x14ac:dyDescent="0.25">
      <c r="A31" s="69" t="s">
        <v>217</v>
      </c>
      <c r="B31" s="70">
        <v>121194097</v>
      </c>
      <c r="C31" s="70"/>
      <c r="D31" s="77">
        <f t="shared" si="1"/>
        <v>4.2000000000000003E-2</v>
      </c>
      <c r="E31" s="77"/>
      <c r="F31" s="85"/>
      <c r="G31" s="86"/>
      <c r="H31" s="78"/>
    </row>
    <row r="32" spans="1:8" ht="13.2" x14ac:dyDescent="0.25">
      <c r="A32" s="69" t="s">
        <v>151</v>
      </c>
      <c r="B32" s="70">
        <v>158975595</v>
      </c>
      <c r="C32" s="70"/>
      <c r="D32" s="77">
        <f t="shared" si="1"/>
        <v>5.5100000000000003E-2</v>
      </c>
      <c r="E32" s="77"/>
      <c r="F32" s="85"/>
      <c r="G32" s="86"/>
      <c r="H32" s="78"/>
    </row>
    <row r="33" spans="1:8" ht="13.2" x14ac:dyDescent="0.25">
      <c r="A33" s="69" t="s">
        <v>99</v>
      </c>
      <c r="B33" s="70">
        <v>17350831</v>
      </c>
      <c r="C33" s="70"/>
      <c r="D33" s="77">
        <f t="shared" si="1"/>
        <v>6.0000000000000001E-3</v>
      </c>
      <c r="E33" s="77"/>
      <c r="F33" s="85"/>
      <c r="G33" s="86"/>
      <c r="H33" s="78"/>
    </row>
    <row r="34" spans="1:8" ht="13.2" x14ac:dyDescent="0.25">
      <c r="A34" s="69" t="s">
        <v>152</v>
      </c>
      <c r="B34" s="70">
        <v>234635606</v>
      </c>
      <c r="C34" s="70"/>
      <c r="D34" s="77">
        <f t="shared" si="1"/>
        <v>8.1299999999999997E-2</v>
      </c>
      <c r="E34" s="77"/>
      <c r="F34" s="85"/>
      <c r="G34" s="86"/>
      <c r="H34" s="78"/>
    </row>
    <row r="35" spans="1:8" ht="13.2" x14ac:dyDescent="0.25">
      <c r="A35" s="69" t="s">
        <v>103</v>
      </c>
      <c r="B35" s="70">
        <v>127128052</v>
      </c>
      <c r="C35" s="70"/>
      <c r="D35" s="77">
        <f t="shared" si="1"/>
        <v>4.41E-2</v>
      </c>
      <c r="E35" s="77"/>
      <c r="F35" s="85"/>
      <c r="G35" s="86"/>
      <c r="H35" s="78"/>
    </row>
    <row r="36" spans="1:8" ht="13.2" x14ac:dyDescent="0.25">
      <c r="A36" s="69" t="s">
        <v>153</v>
      </c>
      <c r="B36" s="70">
        <v>372221</v>
      </c>
      <c r="C36" s="70"/>
      <c r="D36" s="77">
        <f t="shared" si="1"/>
        <v>1E-4</v>
      </c>
      <c r="E36" s="77"/>
      <c r="F36" s="85"/>
      <c r="G36" s="86"/>
      <c r="H36" s="78"/>
    </row>
    <row r="37" spans="1:8" ht="13.2" x14ac:dyDescent="0.25">
      <c r="A37" s="69" t="s">
        <v>154</v>
      </c>
      <c r="B37" s="70">
        <v>6574135</v>
      </c>
      <c r="C37" s="70"/>
      <c r="D37" s="77">
        <f t="shared" si="1"/>
        <v>2.3E-3</v>
      </c>
      <c r="E37" s="77"/>
      <c r="F37" s="85"/>
      <c r="G37" s="86"/>
      <c r="H37" s="78"/>
    </row>
    <row r="38" spans="1:8" ht="13.2" x14ac:dyDescent="0.25">
      <c r="A38" s="69" t="s">
        <v>163</v>
      </c>
      <c r="B38" s="70">
        <v>41986085</v>
      </c>
      <c r="C38" s="70"/>
      <c r="D38" s="77">
        <f t="shared" si="1"/>
        <v>1.4500000000000001E-2</v>
      </c>
      <c r="E38" s="77"/>
      <c r="F38" s="85"/>
      <c r="G38" s="86"/>
      <c r="H38" s="78"/>
    </row>
    <row r="39" spans="1:8" ht="13.2" x14ac:dyDescent="0.25">
      <c r="A39" s="69" t="s">
        <v>157</v>
      </c>
      <c r="B39" s="70">
        <v>1705251</v>
      </c>
      <c r="C39" s="70"/>
      <c r="D39" s="77">
        <f t="shared" si="1"/>
        <v>5.9999999999999995E-4</v>
      </c>
      <c r="E39" s="77"/>
      <c r="F39" s="85"/>
      <c r="G39" s="86"/>
      <c r="H39" s="78"/>
    </row>
    <row r="40" spans="1:8" ht="13.2" x14ac:dyDescent="0.25">
      <c r="A40" s="69" t="s">
        <v>104</v>
      </c>
      <c r="B40" s="70">
        <v>34831964</v>
      </c>
      <c r="C40" s="70"/>
      <c r="D40" s="77">
        <f t="shared" si="1"/>
        <v>1.21E-2</v>
      </c>
      <c r="E40" s="77"/>
      <c r="F40" s="85"/>
      <c r="G40" s="84"/>
      <c r="H40" s="78"/>
    </row>
    <row r="41" spans="1:8" ht="12" customHeight="1" thickBot="1" x14ac:dyDescent="0.3">
      <c r="A41" s="69"/>
      <c r="B41" s="70"/>
      <c r="C41" s="70"/>
      <c r="D41" s="77"/>
      <c r="E41" s="77"/>
      <c r="H41" s="78"/>
    </row>
    <row r="42" spans="1:8" ht="14.25" customHeight="1" thickTop="1" x14ac:dyDescent="0.25">
      <c r="A42" s="72" t="s">
        <v>216</v>
      </c>
      <c r="B42" s="71">
        <f>SUM(B24:B40)</f>
        <v>2885739622</v>
      </c>
      <c r="C42" s="83"/>
      <c r="D42" s="82">
        <f>SUM(D24:D40)</f>
        <v>1.0000000000000002</v>
      </c>
    </row>
    <row r="43" spans="1:8" ht="15" customHeight="1" x14ac:dyDescent="0.25">
      <c r="A43" s="69" t="s">
        <v>158</v>
      </c>
      <c r="B43" s="76">
        <v>99693705</v>
      </c>
      <c r="C43" s="70"/>
      <c r="D43" s="77"/>
      <c r="E43" s="81"/>
      <c r="F43" s="80"/>
      <c r="G43" s="79"/>
      <c r="H43" s="78"/>
    </row>
    <row r="44" spans="1:8" ht="5.25" customHeight="1" x14ac:dyDescent="0.25">
      <c r="A44" s="69"/>
      <c r="B44" s="76"/>
      <c r="C44" s="70"/>
      <c r="D44" s="77"/>
    </row>
    <row r="45" spans="1:8" ht="12.75" customHeight="1" x14ac:dyDescent="0.25">
      <c r="A45" s="72" t="s">
        <v>215</v>
      </c>
      <c r="B45" s="73">
        <f>SUM(B42:B44)</f>
        <v>2985433327</v>
      </c>
      <c r="C45" s="69"/>
      <c r="D45" s="69"/>
    </row>
    <row r="46" spans="1:8" ht="5.25" customHeight="1" x14ac:dyDescent="0.25">
      <c r="A46" s="69"/>
      <c r="B46" s="76"/>
      <c r="C46" s="70"/>
      <c r="D46" s="77"/>
    </row>
    <row r="47" spans="1:8" ht="13.5" customHeight="1" x14ac:dyDescent="0.25">
      <c r="A47" s="69" t="s">
        <v>214</v>
      </c>
      <c r="B47" s="76">
        <v>93471647</v>
      </c>
      <c r="C47" s="69"/>
      <c r="D47" s="69"/>
    </row>
    <row r="48" spans="1:8" ht="13.8" thickBot="1" x14ac:dyDescent="0.3">
      <c r="A48" s="69"/>
      <c r="B48" s="69"/>
      <c r="C48" s="69"/>
      <c r="D48" s="69"/>
    </row>
    <row r="49" spans="1:4" ht="13.5" customHeight="1" thickTop="1" x14ac:dyDescent="0.25">
      <c r="A49" s="75" t="s">
        <v>213</v>
      </c>
      <c r="B49" s="74"/>
      <c r="C49" s="74"/>
      <c r="D49" s="74"/>
    </row>
    <row r="50" spans="1:4" ht="13.2" x14ac:dyDescent="0.25">
      <c r="A50" s="69"/>
      <c r="B50" s="69"/>
      <c r="C50" s="69"/>
      <c r="D50" s="69"/>
    </row>
    <row r="51" spans="1:4" ht="11.1" customHeight="1" x14ac:dyDescent="0.25">
      <c r="A51" s="72" t="s">
        <v>212</v>
      </c>
      <c r="B51" s="69"/>
      <c r="C51" s="69"/>
      <c r="D51" s="69"/>
    </row>
    <row r="52" spans="1:4" ht="13.2" x14ac:dyDescent="0.25">
      <c r="A52" s="69" t="s">
        <v>211</v>
      </c>
      <c r="B52" s="70">
        <v>99458527.37999998</v>
      </c>
      <c r="C52" s="69"/>
      <c r="D52" s="69"/>
    </row>
    <row r="53" spans="1:4" ht="13.2" x14ac:dyDescent="0.25">
      <c r="A53" s="69" t="s">
        <v>210</v>
      </c>
      <c r="B53" s="70">
        <v>388445.82</v>
      </c>
      <c r="C53" s="69"/>
      <c r="D53" s="69"/>
    </row>
    <row r="54" spans="1:4" ht="13.2" x14ac:dyDescent="0.25">
      <c r="A54" s="69" t="s">
        <v>205</v>
      </c>
      <c r="B54" s="70">
        <v>36000717.000000007</v>
      </c>
      <c r="C54" s="69"/>
      <c r="D54" s="69"/>
    </row>
    <row r="55" spans="1:4" ht="13.8" thickBot="1" x14ac:dyDescent="0.3">
      <c r="A55" s="69" t="s">
        <v>209</v>
      </c>
      <c r="B55" s="70">
        <v>1495998</v>
      </c>
      <c r="C55" s="69"/>
      <c r="D55" s="69"/>
    </row>
    <row r="56" spans="1:4" ht="13.8" thickTop="1" x14ac:dyDescent="0.25">
      <c r="A56" s="72" t="s">
        <v>208</v>
      </c>
      <c r="B56" s="71">
        <f>SUM(B52:B55)</f>
        <v>137343688.19999999</v>
      </c>
      <c r="C56" s="69"/>
      <c r="D56" s="69"/>
    </row>
    <row r="57" spans="1:4" ht="15" customHeight="1" x14ac:dyDescent="0.25">
      <c r="A57" s="69"/>
      <c r="B57" s="69"/>
      <c r="C57" s="69"/>
      <c r="D57" s="69"/>
    </row>
    <row r="58" spans="1:4" ht="11.1" customHeight="1" x14ac:dyDescent="0.25">
      <c r="A58" s="72" t="s">
        <v>207</v>
      </c>
      <c r="B58" s="69"/>
      <c r="C58" s="69"/>
      <c r="D58" s="69"/>
    </row>
    <row r="59" spans="1:4" ht="13.2" x14ac:dyDescent="0.25">
      <c r="A59" s="69" t="s">
        <v>206</v>
      </c>
      <c r="B59" s="73">
        <v>105020405</v>
      </c>
      <c r="C59" s="69"/>
      <c r="D59" s="69"/>
    </row>
    <row r="60" spans="1:4" ht="13.8" thickBot="1" x14ac:dyDescent="0.3">
      <c r="A60" s="69" t="s">
        <v>205</v>
      </c>
      <c r="B60" s="70">
        <v>36000717.000000007</v>
      </c>
      <c r="C60" s="69"/>
      <c r="D60" s="69"/>
    </row>
    <row r="61" spans="1:4" ht="13.8" thickTop="1" x14ac:dyDescent="0.25">
      <c r="A61" s="72" t="s">
        <v>204</v>
      </c>
      <c r="B61" s="71">
        <f>SUM(B59:B60)</f>
        <v>141021122</v>
      </c>
      <c r="C61" s="69"/>
      <c r="D61" s="69"/>
    </row>
    <row r="62" spans="1:4" ht="15" customHeight="1" x14ac:dyDescent="0.25">
      <c r="A62" s="69"/>
      <c r="B62" s="69"/>
      <c r="C62" s="69"/>
      <c r="D62" s="69"/>
    </row>
    <row r="63" spans="1:4" ht="11.1" customHeight="1" x14ac:dyDescent="0.25">
      <c r="A63" s="69" t="s">
        <v>203</v>
      </c>
      <c r="B63" s="69"/>
      <c r="C63" s="69"/>
      <c r="D63" s="69"/>
    </row>
    <row r="64" spans="1:4" ht="13.2" x14ac:dyDescent="0.25">
      <c r="A64" s="69" t="s">
        <v>202</v>
      </c>
      <c r="B64" s="70"/>
      <c r="C64" s="69"/>
      <c r="D64" s="69"/>
    </row>
    <row r="65" spans="1:4" ht="13.2" x14ac:dyDescent="0.25">
      <c r="A65" s="69"/>
      <c r="B65" s="69"/>
      <c r="C65" s="69"/>
      <c r="D65" s="69"/>
    </row>
    <row r="66" spans="1:4" ht="12" customHeight="1" x14ac:dyDescent="0.25">
      <c r="A66" s="69" t="s">
        <v>201</v>
      </c>
      <c r="B66" s="69"/>
      <c r="C66" s="69"/>
      <c r="D66" s="69"/>
    </row>
    <row r="67" spans="1:4" ht="13.2" x14ac:dyDescent="0.25">
      <c r="A67" s="69" t="s">
        <v>234</v>
      </c>
      <c r="B67" s="69"/>
      <c r="C67" s="69"/>
      <c r="D67" s="69"/>
    </row>
    <row r="68" spans="1:4" ht="13.2" x14ac:dyDescent="0.25">
      <c r="A68" s="69"/>
      <c r="B68" s="69"/>
      <c r="C68" s="69"/>
      <c r="D68" s="69"/>
    </row>
  </sheetData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 xml:space="preserve">&amp;RJanuary 3, 2017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68"/>
  <sheetViews>
    <sheetView workbookViewId="0">
      <selection activeCell="B11" sqref="B11:B19"/>
    </sheetView>
  </sheetViews>
  <sheetFormatPr defaultColWidth="9.109375" defaultRowHeight="10.199999999999999" x14ac:dyDescent="0.2"/>
  <cols>
    <col min="1" max="1" width="63.88671875" style="68" customWidth="1"/>
    <col min="2" max="2" width="18.88671875" style="68" customWidth="1"/>
    <col min="3" max="3" width="1.44140625" style="68" customWidth="1"/>
    <col min="4" max="4" width="10.44140625" style="68" customWidth="1"/>
    <col min="5" max="5" width="9.6640625" style="68" bestFit="1" customWidth="1"/>
    <col min="6" max="6" width="11" style="68" customWidth="1"/>
    <col min="7" max="16384" width="9.109375" style="68"/>
  </cols>
  <sheetData>
    <row r="1" spans="1:7" ht="13.2" x14ac:dyDescent="0.25">
      <c r="A1" s="213" t="s">
        <v>233</v>
      </c>
      <c r="B1" s="213"/>
      <c r="C1" s="213"/>
      <c r="D1" s="213"/>
    </row>
    <row r="2" spans="1:7" ht="13.2" x14ac:dyDescent="0.25">
      <c r="A2" s="213" t="s">
        <v>237</v>
      </c>
      <c r="B2" s="213"/>
      <c r="C2" s="213"/>
      <c r="D2" s="213"/>
    </row>
    <row r="3" spans="1:7" ht="13.2" x14ac:dyDescent="0.25">
      <c r="A3" s="213" t="s">
        <v>231</v>
      </c>
      <c r="B3" s="213"/>
      <c r="C3" s="213"/>
      <c r="D3" s="213"/>
    </row>
    <row r="4" spans="1:7" ht="13.2" x14ac:dyDescent="0.25">
      <c r="A4" s="213" t="s">
        <v>236</v>
      </c>
      <c r="B4" s="213"/>
      <c r="C4" s="213"/>
      <c r="D4" s="213"/>
    </row>
    <row r="5" spans="1:7" ht="9" customHeight="1" x14ac:dyDescent="0.25">
      <c r="A5" s="213"/>
      <c r="B5" s="213"/>
      <c r="C5" s="213"/>
      <c r="D5" s="213"/>
    </row>
    <row r="6" spans="1:7" ht="13.2" x14ac:dyDescent="0.25">
      <c r="A6" s="213" t="s">
        <v>229</v>
      </c>
      <c r="B6" s="213"/>
      <c r="C6" s="213"/>
      <c r="D6" s="213"/>
    </row>
    <row r="7" spans="1:7" ht="13.2" x14ac:dyDescent="0.25">
      <c r="A7" s="212" t="s">
        <v>195</v>
      </c>
      <c r="B7" s="212"/>
      <c r="C7" s="212"/>
      <c r="D7" s="212"/>
    </row>
    <row r="8" spans="1:7" ht="9.75" customHeight="1" x14ac:dyDescent="0.25">
      <c r="A8" s="94"/>
      <c r="B8" s="94"/>
      <c r="C8" s="94"/>
      <c r="D8" s="94"/>
    </row>
    <row r="9" spans="1:7" ht="13.2" x14ac:dyDescent="0.25">
      <c r="A9" s="72" t="s">
        <v>228</v>
      </c>
      <c r="B9" s="69"/>
      <c r="C9" s="69"/>
      <c r="D9" s="93" t="s">
        <v>227</v>
      </c>
    </row>
    <row r="10" spans="1:7" ht="8.1" customHeight="1" x14ac:dyDescent="0.25">
      <c r="A10" s="69"/>
      <c r="B10" s="69"/>
      <c r="C10" s="69"/>
      <c r="D10" s="69"/>
    </row>
    <row r="11" spans="1:7" ht="13.2" x14ac:dyDescent="0.25">
      <c r="A11" s="69" t="s">
        <v>136</v>
      </c>
      <c r="B11" s="73">
        <v>1739968970</v>
      </c>
      <c r="C11" s="87"/>
      <c r="D11" s="77">
        <f>ROUND(B11/$B$17,3)-0.001</f>
        <v>0.58599999999999997</v>
      </c>
      <c r="E11" s="80"/>
      <c r="F11" s="92"/>
    </row>
    <row r="12" spans="1:7" ht="13.2" x14ac:dyDescent="0.25">
      <c r="A12" s="69" t="s">
        <v>226</v>
      </c>
      <c r="B12" s="70">
        <v>53410793</v>
      </c>
      <c r="C12" s="70"/>
      <c r="D12" s="77">
        <f>ROUND(B12/$B$17,3)</f>
        <v>1.7999999999999999E-2</v>
      </c>
      <c r="F12" s="92"/>
    </row>
    <row r="13" spans="1:7" ht="13.2" x14ac:dyDescent="0.25">
      <c r="A13" s="69" t="s">
        <v>225</v>
      </c>
      <c r="B13" s="70">
        <v>924330276</v>
      </c>
      <c r="C13" s="70"/>
      <c r="D13" s="77">
        <f>ROUND(B13/$B$17,3)</f>
        <v>0.312</v>
      </c>
      <c r="E13" s="80"/>
      <c r="F13" s="92"/>
      <c r="G13" s="84"/>
    </row>
    <row r="14" spans="1:7" ht="13.2" x14ac:dyDescent="0.25">
      <c r="A14" s="69" t="s">
        <v>138</v>
      </c>
      <c r="B14" s="70">
        <v>76043832</v>
      </c>
      <c r="C14" s="70"/>
      <c r="D14" s="77">
        <f>ROUND(B14/$B$17,3)</f>
        <v>2.5999999999999999E-2</v>
      </c>
      <c r="F14" s="92"/>
    </row>
    <row r="15" spans="1:7" ht="13.2" x14ac:dyDescent="0.25">
      <c r="A15" s="69" t="s">
        <v>139</v>
      </c>
      <c r="B15" s="70">
        <v>166235009</v>
      </c>
      <c r="C15" s="70"/>
      <c r="D15" s="77">
        <f>ROUND(B15/$B$17,3)</f>
        <v>5.6000000000000001E-2</v>
      </c>
      <c r="F15" s="92"/>
    </row>
    <row r="16" spans="1:7" ht="13.8" thickBot="1" x14ac:dyDescent="0.3">
      <c r="A16" s="69" t="s">
        <v>224</v>
      </c>
      <c r="B16" s="70">
        <v>4686423</v>
      </c>
      <c r="C16" s="70"/>
      <c r="D16" s="77">
        <f>ROUND(B16/$B$17,3)</f>
        <v>2E-3</v>
      </c>
      <c r="F16" s="92"/>
    </row>
    <row r="17" spans="1:8" ht="13.8" thickTop="1" x14ac:dyDescent="0.25">
      <c r="A17" s="72" t="s">
        <v>223</v>
      </c>
      <c r="B17" s="71">
        <f>SUM(B11:B16)</f>
        <v>2964675303</v>
      </c>
      <c r="C17" s="91">
        <f>SUM(C11:C16)</f>
        <v>0</v>
      </c>
      <c r="D17" s="77">
        <f>SUM(D11:D16)</f>
        <v>1</v>
      </c>
      <c r="F17" s="90"/>
      <c r="G17" s="84"/>
    </row>
    <row r="18" spans="1:8" ht="15" customHeight="1" x14ac:dyDescent="0.25">
      <c r="A18" s="72"/>
      <c r="B18" s="70"/>
      <c r="C18" s="70"/>
      <c r="F18" s="89"/>
    </row>
    <row r="19" spans="1:8" ht="13.5" customHeight="1" x14ac:dyDescent="0.25">
      <c r="A19" s="69" t="s">
        <v>222</v>
      </c>
      <c r="B19" s="76">
        <v>89270876</v>
      </c>
      <c r="C19" s="69"/>
      <c r="D19" s="69"/>
    </row>
    <row r="20" spans="1:8" ht="13.2" x14ac:dyDescent="0.25">
      <c r="A20" s="69"/>
      <c r="B20" s="88"/>
      <c r="C20" s="88"/>
      <c r="D20" s="88"/>
    </row>
    <row r="21" spans="1:8" ht="6.75" customHeight="1" x14ac:dyDescent="0.25">
      <c r="A21" s="69"/>
      <c r="B21" s="69"/>
      <c r="C21" s="69"/>
      <c r="D21" s="69"/>
    </row>
    <row r="22" spans="1:8" ht="11.1" customHeight="1" x14ac:dyDescent="0.25">
      <c r="A22" s="72" t="s">
        <v>221</v>
      </c>
      <c r="B22" s="69"/>
      <c r="C22" s="69"/>
      <c r="D22" s="69"/>
    </row>
    <row r="23" spans="1:8" ht="13.2" x14ac:dyDescent="0.25">
      <c r="A23" s="69"/>
      <c r="B23" s="69"/>
      <c r="C23" s="69"/>
      <c r="D23" s="69"/>
    </row>
    <row r="24" spans="1:8" ht="11.1" customHeight="1" x14ac:dyDescent="0.25">
      <c r="A24" s="69" t="s">
        <v>220</v>
      </c>
      <c r="B24" s="73">
        <v>1153336797</v>
      </c>
      <c r="C24" s="70"/>
      <c r="D24" s="77">
        <f>ROUND(B24/$B$42,4)</f>
        <v>0.40960000000000002</v>
      </c>
      <c r="F24" s="85"/>
    </row>
    <row r="25" spans="1:8" ht="13.2" x14ac:dyDescent="0.25">
      <c r="A25" s="69" t="s">
        <v>219</v>
      </c>
      <c r="B25" s="70">
        <v>533232787</v>
      </c>
      <c r="C25" s="70"/>
      <c r="D25" s="77">
        <f>ROUND(B25/$B$42,4)</f>
        <v>0.18940000000000001</v>
      </c>
      <c r="E25" s="77"/>
      <c r="F25" s="85"/>
      <c r="G25" s="86"/>
      <c r="H25" s="78"/>
    </row>
    <row r="26" spans="1:8" ht="13.2" x14ac:dyDescent="0.25">
      <c r="A26" s="69" t="s">
        <v>218</v>
      </c>
      <c r="B26" s="70">
        <v>39870558</v>
      </c>
      <c r="C26" s="70"/>
      <c r="D26" s="77">
        <f>ROUND(B26/$B$42,4)</f>
        <v>1.4200000000000001E-2</v>
      </c>
      <c r="E26" s="77"/>
      <c r="F26" s="85"/>
      <c r="G26" s="86"/>
      <c r="H26" s="78"/>
    </row>
    <row r="27" spans="1:8" ht="13.2" x14ac:dyDescent="0.25">
      <c r="A27" s="69" t="s">
        <v>147</v>
      </c>
      <c r="B27" s="70">
        <v>46654971</v>
      </c>
      <c r="C27" s="70"/>
      <c r="D27" s="77">
        <f>ROUND(B27/$B$42,4)</f>
        <v>1.66E-2</v>
      </c>
      <c r="E27" s="77"/>
      <c r="F27" s="85"/>
      <c r="G27" s="86"/>
      <c r="H27" s="78"/>
    </row>
    <row r="28" spans="1:8" ht="13.2" x14ac:dyDescent="0.25">
      <c r="A28" s="69"/>
      <c r="B28" s="87"/>
      <c r="C28" s="70"/>
      <c r="D28" s="77"/>
      <c r="E28" s="77"/>
      <c r="G28" s="84"/>
      <c r="H28" s="78"/>
    </row>
    <row r="29" spans="1:8" ht="11.1" customHeight="1" x14ac:dyDescent="0.25">
      <c r="A29" s="69" t="s">
        <v>148</v>
      </c>
      <c r="B29" s="70">
        <v>210268577</v>
      </c>
      <c r="C29" s="70"/>
      <c r="D29" s="77">
        <f t="shared" ref="D29:D40" si="0">ROUND(B29/$B$42,4)</f>
        <v>7.4700000000000003E-2</v>
      </c>
      <c r="E29" s="77"/>
      <c r="F29" s="85"/>
      <c r="G29" s="86"/>
      <c r="H29" s="78"/>
    </row>
    <row r="30" spans="1:8" ht="13.2" x14ac:dyDescent="0.25">
      <c r="A30" s="69" t="s">
        <v>149</v>
      </c>
      <c r="B30" s="70">
        <v>96040326</v>
      </c>
      <c r="C30" s="70"/>
      <c r="D30" s="77">
        <f t="shared" si="0"/>
        <v>3.4099999999999998E-2</v>
      </c>
      <c r="E30" s="77"/>
      <c r="F30" s="85"/>
      <c r="G30" s="86"/>
      <c r="H30" s="78"/>
    </row>
    <row r="31" spans="1:8" ht="13.2" x14ac:dyDescent="0.25">
      <c r="A31" s="69" t="s">
        <v>217</v>
      </c>
      <c r="B31" s="70">
        <v>117292917</v>
      </c>
      <c r="C31" s="70"/>
      <c r="D31" s="77">
        <f t="shared" si="0"/>
        <v>4.1700000000000001E-2</v>
      </c>
      <c r="E31" s="77"/>
      <c r="F31" s="85"/>
      <c r="G31" s="86"/>
      <c r="H31" s="78"/>
    </row>
    <row r="32" spans="1:8" ht="13.2" x14ac:dyDescent="0.25">
      <c r="A32" s="69" t="s">
        <v>151</v>
      </c>
      <c r="B32" s="70">
        <v>154041580</v>
      </c>
      <c r="C32" s="70"/>
      <c r="D32" s="77">
        <f t="shared" si="0"/>
        <v>5.4699999999999999E-2</v>
      </c>
      <c r="E32" s="77"/>
      <c r="F32" s="85"/>
      <c r="G32" s="86"/>
      <c r="H32" s="78"/>
    </row>
    <row r="33" spans="1:8" ht="13.2" x14ac:dyDescent="0.25">
      <c r="A33" s="69" t="s">
        <v>99</v>
      </c>
      <c r="B33" s="70">
        <v>17065107</v>
      </c>
      <c r="C33" s="70"/>
      <c r="D33" s="77">
        <f t="shared" si="0"/>
        <v>6.1000000000000004E-3</v>
      </c>
      <c r="E33" s="77"/>
      <c r="F33" s="85"/>
      <c r="G33" s="86"/>
      <c r="H33" s="78"/>
    </row>
    <row r="34" spans="1:8" ht="13.2" x14ac:dyDescent="0.25">
      <c r="A34" s="69" t="s">
        <v>152</v>
      </c>
      <c r="B34" s="70">
        <v>240493989</v>
      </c>
      <c r="C34" s="70"/>
      <c r="D34" s="77">
        <f t="shared" si="0"/>
        <v>8.5400000000000004E-2</v>
      </c>
      <c r="E34" s="77"/>
      <c r="F34" s="85"/>
      <c r="G34" s="86"/>
      <c r="H34" s="78"/>
    </row>
    <row r="35" spans="1:8" ht="13.2" x14ac:dyDescent="0.25">
      <c r="A35" s="69" t="s">
        <v>103</v>
      </c>
      <c r="B35" s="70">
        <v>124125366</v>
      </c>
      <c r="C35" s="70"/>
      <c r="D35" s="77">
        <f t="shared" si="0"/>
        <v>4.41E-2</v>
      </c>
      <c r="E35" s="77"/>
      <c r="F35" s="85"/>
      <c r="G35" s="86"/>
      <c r="H35" s="78"/>
    </row>
    <row r="36" spans="1:8" ht="13.2" x14ac:dyDescent="0.25">
      <c r="A36" s="69" t="s">
        <v>153</v>
      </c>
      <c r="B36" s="70">
        <v>346640</v>
      </c>
      <c r="C36" s="70"/>
      <c r="D36" s="77">
        <f t="shared" si="0"/>
        <v>1E-4</v>
      </c>
      <c r="E36" s="77"/>
      <c r="F36" s="85"/>
      <c r="G36" s="86"/>
      <c r="H36" s="78"/>
    </row>
    <row r="37" spans="1:8" ht="13.2" x14ac:dyDescent="0.25">
      <c r="A37" s="69" t="s">
        <v>154</v>
      </c>
      <c r="B37" s="70">
        <v>6286868</v>
      </c>
      <c r="C37" s="70"/>
      <c r="D37" s="77">
        <f t="shared" si="0"/>
        <v>2.2000000000000001E-3</v>
      </c>
      <c r="E37" s="77"/>
      <c r="F37" s="85"/>
      <c r="G37" s="86"/>
      <c r="H37" s="78"/>
    </row>
    <row r="38" spans="1:8" ht="13.2" x14ac:dyDescent="0.25">
      <c r="A38" s="69" t="s">
        <v>163</v>
      </c>
      <c r="B38" s="70">
        <v>41185252</v>
      </c>
      <c r="C38" s="70"/>
      <c r="D38" s="77">
        <f t="shared" si="0"/>
        <v>1.46E-2</v>
      </c>
      <c r="E38" s="77"/>
      <c r="F38" s="85"/>
      <c r="G38" s="86"/>
      <c r="H38" s="78"/>
    </row>
    <row r="39" spans="1:8" ht="13.2" x14ac:dyDescent="0.25">
      <c r="A39" s="69" t="s">
        <v>157</v>
      </c>
      <c r="B39" s="70">
        <v>1127642</v>
      </c>
      <c r="C39" s="70"/>
      <c r="D39" s="77">
        <f t="shared" si="0"/>
        <v>4.0000000000000002E-4</v>
      </c>
      <c r="E39" s="77"/>
      <c r="F39" s="85"/>
      <c r="G39" s="86"/>
      <c r="H39" s="78"/>
    </row>
    <row r="40" spans="1:8" ht="13.2" x14ac:dyDescent="0.25">
      <c r="A40" s="69" t="s">
        <v>104</v>
      </c>
      <c r="B40" s="70">
        <v>34303383</v>
      </c>
      <c r="C40" s="70"/>
      <c r="D40" s="77">
        <f t="shared" si="0"/>
        <v>1.2200000000000001E-2</v>
      </c>
      <c r="E40" s="77"/>
      <c r="F40" s="85"/>
      <c r="G40" s="84"/>
      <c r="H40" s="78"/>
    </row>
    <row r="41" spans="1:8" ht="12" customHeight="1" thickBot="1" x14ac:dyDescent="0.3">
      <c r="A41" s="69"/>
      <c r="B41" s="70"/>
      <c r="C41" s="70"/>
      <c r="D41" s="77"/>
      <c r="E41" s="77"/>
      <c r="H41" s="78"/>
    </row>
    <row r="42" spans="1:8" ht="14.25" customHeight="1" thickTop="1" x14ac:dyDescent="0.25">
      <c r="A42" s="72" t="s">
        <v>216</v>
      </c>
      <c r="B42" s="71">
        <f>SUM(B24:B40)</f>
        <v>2815672760</v>
      </c>
      <c r="C42" s="83"/>
      <c r="D42" s="82">
        <f>SUM(D24:D40)</f>
        <v>1.0000999999999998</v>
      </c>
    </row>
    <row r="43" spans="1:8" ht="15" customHeight="1" x14ac:dyDescent="0.25">
      <c r="A43" s="69" t="s">
        <v>158</v>
      </c>
      <c r="B43" s="76">
        <v>86923711</v>
      </c>
      <c r="C43" s="70"/>
      <c r="D43" s="77"/>
      <c r="E43" s="81"/>
      <c r="F43" s="80"/>
      <c r="G43" s="79"/>
      <c r="H43" s="78"/>
    </row>
    <row r="44" spans="1:8" ht="5.25" customHeight="1" x14ac:dyDescent="0.25">
      <c r="A44" s="69"/>
      <c r="B44" s="76"/>
      <c r="C44" s="70"/>
      <c r="D44" s="77"/>
    </row>
    <row r="45" spans="1:8" ht="12.75" customHeight="1" x14ac:dyDescent="0.25">
      <c r="A45" s="72" t="s">
        <v>215</v>
      </c>
      <c r="B45" s="73">
        <f>SUM(B42:B44)</f>
        <v>2902596471</v>
      </c>
      <c r="C45" s="69"/>
      <c r="D45" s="69"/>
    </row>
    <row r="46" spans="1:8" ht="5.25" customHeight="1" x14ac:dyDescent="0.25">
      <c r="A46" s="69"/>
      <c r="B46" s="76"/>
      <c r="C46" s="70"/>
      <c r="D46" s="77"/>
    </row>
    <row r="47" spans="1:8" ht="13.5" customHeight="1" x14ac:dyDescent="0.25">
      <c r="A47" s="69" t="s">
        <v>214</v>
      </c>
      <c r="B47" s="76">
        <v>94358445</v>
      </c>
      <c r="C47" s="69"/>
      <c r="D47" s="69"/>
    </row>
    <row r="48" spans="1:8" ht="13.8" thickBot="1" x14ac:dyDescent="0.3">
      <c r="A48" s="69"/>
      <c r="B48" s="69"/>
      <c r="C48" s="69"/>
      <c r="D48" s="69"/>
    </row>
    <row r="49" spans="1:4" ht="13.5" customHeight="1" thickTop="1" x14ac:dyDescent="0.25">
      <c r="A49" s="75" t="s">
        <v>213</v>
      </c>
      <c r="B49" s="74"/>
      <c r="C49" s="74"/>
      <c r="D49" s="74"/>
    </row>
    <row r="50" spans="1:4" ht="13.2" x14ac:dyDescent="0.25">
      <c r="A50" s="69"/>
      <c r="B50" s="69"/>
      <c r="C50" s="69"/>
      <c r="D50" s="69"/>
    </row>
    <row r="51" spans="1:4" ht="11.1" customHeight="1" x14ac:dyDescent="0.25">
      <c r="A51" s="72" t="s">
        <v>212</v>
      </c>
      <c r="B51" s="69"/>
      <c r="C51" s="69"/>
      <c r="D51" s="69"/>
    </row>
    <row r="52" spans="1:4" ht="13.2" x14ac:dyDescent="0.25">
      <c r="A52" s="69" t="s">
        <v>211</v>
      </c>
      <c r="B52" s="70">
        <v>102352083.60000001</v>
      </c>
      <c r="C52" s="69"/>
      <c r="D52" s="69"/>
    </row>
    <row r="53" spans="1:4" ht="13.2" x14ac:dyDescent="0.25">
      <c r="A53" s="69" t="s">
        <v>210</v>
      </c>
      <c r="B53" s="70">
        <v>293499.18</v>
      </c>
      <c r="C53" s="69"/>
      <c r="D53" s="69"/>
    </row>
    <row r="54" spans="1:4" ht="13.2" x14ac:dyDescent="0.25">
      <c r="A54" s="69" t="s">
        <v>205</v>
      </c>
      <c r="B54" s="70">
        <v>35855449.420000002</v>
      </c>
      <c r="C54" s="69"/>
      <c r="D54" s="69"/>
    </row>
    <row r="55" spans="1:4" ht="13.8" thickBot="1" x14ac:dyDescent="0.3">
      <c r="A55" s="69" t="s">
        <v>209</v>
      </c>
      <c r="B55" s="70">
        <v>1511105</v>
      </c>
      <c r="C55" s="69"/>
      <c r="D55" s="69"/>
    </row>
    <row r="56" spans="1:4" ht="13.8" thickTop="1" x14ac:dyDescent="0.25">
      <c r="A56" s="72" t="s">
        <v>208</v>
      </c>
      <c r="B56" s="71">
        <f>SUM(B52:B55)</f>
        <v>140012137.20000002</v>
      </c>
      <c r="C56" s="69"/>
      <c r="D56" s="69"/>
    </row>
    <row r="57" spans="1:4" ht="15" customHeight="1" x14ac:dyDescent="0.25">
      <c r="A57" s="69"/>
      <c r="B57" s="69"/>
      <c r="C57" s="69"/>
      <c r="D57" s="69"/>
    </row>
    <row r="58" spans="1:4" ht="11.1" customHeight="1" x14ac:dyDescent="0.25">
      <c r="A58" s="72" t="s">
        <v>207</v>
      </c>
      <c r="B58" s="69"/>
      <c r="C58" s="69"/>
      <c r="D58" s="69"/>
    </row>
    <row r="59" spans="1:4" ht="13.2" x14ac:dyDescent="0.25">
      <c r="A59" s="69" t="s">
        <v>206</v>
      </c>
      <c r="B59" s="73">
        <v>107844766</v>
      </c>
      <c r="C59" s="69"/>
      <c r="D59" s="69"/>
    </row>
    <row r="60" spans="1:4" ht="13.8" thickBot="1" x14ac:dyDescent="0.3">
      <c r="A60" s="69" t="s">
        <v>205</v>
      </c>
      <c r="B60" s="70">
        <v>35855449.420000002</v>
      </c>
      <c r="C60" s="69"/>
      <c r="D60" s="69"/>
    </row>
    <row r="61" spans="1:4" ht="13.8" thickTop="1" x14ac:dyDescent="0.25">
      <c r="A61" s="72" t="s">
        <v>204</v>
      </c>
      <c r="B61" s="71">
        <f>SUM(B59:B60)</f>
        <v>143700215.42000002</v>
      </c>
      <c r="C61" s="69"/>
      <c r="D61" s="69"/>
    </row>
    <row r="62" spans="1:4" ht="15" customHeight="1" x14ac:dyDescent="0.25">
      <c r="A62" s="69"/>
      <c r="B62" s="69"/>
      <c r="C62" s="69"/>
      <c r="D62" s="69"/>
    </row>
    <row r="63" spans="1:4" ht="11.1" customHeight="1" x14ac:dyDescent="0.25">
      <c r="A63" s="69" t="s">
        <v>203</v>
      </c>
      <c r="B63" s="69"/>
      <c r="C63" s="69"/>
      <c r="D63" s="69"/>
    </row>
    <row r="64" spans="1:4" ht="13.2" x14ac:dyDescent="0.25">
      <c r="A64" s="69" t="s">
        <v>202</v>
      </c>
      <c r="B64" s="70"/>
      <c r="C64" s="69"/>
      <c r="D64" s="69"/>
    </row>
    <row r="65" spans="1:4" ht="13.2" x14ac:dyDescent="0.25">
      <c r="A65" s="69"/>
      <c r="B65" s="69"/>
      <c r="C65" s="69"/>
      <c r="D65" s="69"/>
    </row>
    <row r="66" spans="1:4" ht="12" customHeight="1" x14ac:dyDescent="0.25">
      <c r="A66" s="69" t="s">
        <v>201</v>
      </c>
      <c r="B66" s="69"/>
      <c r="C66" s="69"/>
      <c r="D66" s="69"/>
    </row>
    <row r="67" spans="1:4" ht="13.2" x14ac:dyDescent="0.25">
      <c r="A67" s="69" t="s">
        <v>235</v>
      </c>
      <c r="B67" s="69"/>
      <c r="C67" s="69"/>
      <c r="D67" s="69"/>
    </row>
    <row r="68" spans="1:4" ht="13.2" x14ac:dyDescent="0.25">
      <c r="A68" s="69"/>
      <c r="B68" s="69"/>
      <c r="C68" s="69"/>
      <c r="D68" s="69"/>
    </row>
  </sheetData>
  <sheetProtection sheet="1" objects="1" scenarios="1"/>
  <dataConsolidate/>
  <mergeCells count="7">
    <mergeCell ref="A7:D7"/>
    <mergeCell ref="A1:D1"/>
    <mergeCell ref="A2:D2"/>
    <mergeCell ref="A3:D3"/>
    <mergeCell ref="A4:D4"/>
    <mergeCell ref="A5:D5"/>
    <mergeCell ref="A6:D6"/>
  </mergeCells>
  <pageMargins left="0.9" right="0.6" top="0.5" bottom="0.25" header="0.3" footer="0.5"/>
  <pageSetup scale="98" orientation="portrait" r:id="rId1"/>
  <headerFooter alignWithMargins="0">
    <oddHeader xml:space="preserve">&amp;RDecember 15,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43" baseType="lpstr">
      <vt:lpstr>Revenue</vt:lpstr>
      <vt:lpstr>Revenue for Bar Charts</vt:lpstr>
      <vt:lpstr>Spending</vt:lpstr>
      <vt:lpstr>For Pie Charts</vt:lpstr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2009-10</vt:lpstr>
      <vt:lpstr>2008-09</vt:lpstr>
      <vt:lpstr>2007-08</vt:lpstr>
      <vt:lpstr>Fig State Aid 1919 2019</vt:lpstr>
      <vt:lpstr>Column chart revenue by year</vt:lpstr>
      <vt:lpstr>FigSpending 1915 2019</vt:lpstr>
      <vt:lpstr>Fig%GSP</vt:lpstr>
      <vt:lpstr>Fig SpEd and Total by Year</vt:lpstr>
      <vt:lpstr>Fig Pie Revenue 1999</vt:lpstr>
      <vt:lpstr>Fig Pie Revenue 2000</vt:lpstr>
      <vt:lpstr>Fig Pie Revenue 2018</vt:lpstr>
      <vt:lpstr>Fig Pie Revenue 2019</vt:lpstr>
      <vt:lpstr>Fig Construction</vt:lpstr>
      <vt:lpstr>Fig Pie Spending 2018</vt:lpstr>
      <vt:lpstr>FigSpending 1989 2019</vt:lpstr>
      <vt:lpstr>'2007-08'!Print_Area</vt:lpstr>
      <vt:lpstr>'2008-09'!Print_Area</vt:lpstr>
      <vt:lpstr>'2009-10'!Print_Area</vt:lpstr>
      <vt:lpstr>'2010-11'!Print_Area</vt:lpstr>
      <vt:lpstr>'2011-12'!Print_Area</vt:lpstr>
      <vt:lpstr>'2012-13'!Print_Area</vt:lpstr>
      <vt:lpstr>'2013-14'!Print_Area</vt:lpstr>
      <vt:lpstr>'2014-15'!Print_Area</vt:lpstr>
      <vt:lpstr>'2015-16'!Print_Area</vt:lpstr>
      <vt:lpstr>'2016-17'!Print_Area</vt:lpstr>
      <vt:lpstr>'2017-18'!Print_Area</vt:lpstr>
      <vt:lpstr>Revenue!Print_Area</vt:lpstr>
      <vt:lpstr>Spending!Print_Area</vt:lpstr>
      <vt:lpstr>Revenue!Print_Titles</vt:lpstr>
      <vt:lpstr>Spending!Print_Titles</vt:lpstr>
    </vt:vector>
  </TitlesOfParts>
  <Company>INFONOMICS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Hall</dc:creator>
  <cp:lastModifiedBy>Richard Ames</cp:lastModifiedBy>
  <cp:lastPrinted>2020-05-30T16:44:30Z</cp:lastPrinted>
  <dcterms:created xsi:type="dcterms:W3CDTF">1997-03-12T13:43:17Z</dcterms:created>
  <dcterms:modified xsi:type="dcterms:W3CDTF">2020-05-30T16:45:18Z</dcterms:modified>
</cp:coreProperties>
</file>